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Fork. periode" sheetId="1" r:id="rId1"/>
    <sheet name="Løntimer" sheetId="2" state="hidden" r:id="rId2"/>
    <sheet name="Tilsynstimer" sheetId="3" state="hidden" r:id="rId3"/>
    <sheet name="Forudsætninger" sheetId="4" state="hidden" r:id="rId4"/>
    <sheet name="beregn ass." sheetId="5" state="hidden" r:id="rId5"/>
    <sheet name="beregn prakt." sheetId="6" state="hidden" r:id="rId6"/>
  </sheets>
  <definedNames>
    <definedName name="Antal_ferieuger">'Forudsætninger'!$C$10</definedName>
    <definedName name="Antal_helligdage">'Forudsætninger'!$C$11</definedName>
    <definedName name="Antal_skoleuger">'Forudsætninger'!$C$12</definedName>
    <definedName name="Arbejdsuger_i_SFO">'Forudsætninger'!$C$8</definedName>
    <definedName name="Ferie__helligdage">'Forudsætninger'!$C$5</definedName>
    <definedName name="Løntimer">'Forudsætninger'!$C$3</definedName>
    <definedName name="omregningsfaktor">'Forudsætninger'!$C$14</definedName>
    <definedName name="omregningsfaktor_eneansvar">'Forudsætninger'!$C$15</definedName>
    <definedName name="Rådighedstid">'Forudsætninger'!$C$4</definedName>
    <definedName name="Tilsynstid">'Forudsætninger'!$C$6</definedName>
    <definedName name="Tilsynstimetal_pr_uge">'Tilsynstimer'!$F$5</definedName>
    <definedName name="_xlnm.Print_Area" localSheetId="0">'Fork. periode'!$A$1:$X$35</definedName>
    <definedName name="Årlige_antal_uger">'Forudsætninger'!$C$9</definedName>
  </definedNames>
  <calcPr fullCalcOnLoad="1"/>
</workbook>
</file>

<file path=xl/comments1.xml><?xml version="1.0" encoding="utf-8"?>
<comments xmlns="http://schemas.openxmlformats.org/spreadsheetml/2006/main">
  <authors>
    <author>John Leding Jensen</author>
  </authors>
  <commentList>
    <comment ref="H7" authorId="0">
      <text>
        <r>
          <rPr>
            <b/>
            <sz val="8"/>
            <rFont val="Tahoma"/>
            <family val="2"/>
          </rPr>
          <t>Indtast hvilket år perioden starter fra</t>
        </r>
      </text>
    </comment>
    <comment ref="M7" authorId="0">
      <text>
        <r>
          <rPr>
            <b/>
            <sz val="8"/>
            <rFont val="Tahoma"/>
            <family val="2"/>
          </rPr>
          <t>Indtast det år som perioden slutter</t>
        </r>
      </text>
    </comment>
    <comment ref="H12" authorId="0">
      <text>
        <r>
          <rPr>
            <b/>
            <sz val="8"/>
            <rFont val="Tahoma"/>
            <family val="2"/>
          </rPr>
          <t>Indtast den første arbejdsdag. 
Du starter med dag efterfulgt af en bindestreg, derefter måned bindestreg år.
DAG-MÅNED-ÅR.</t>
        </r>
      </text>
    </comment>
    <comment ref="O12" authorId="0">
      <text>
        <r>
          <rPr>
            <b/>
            <sz val="8"/>
            <rFont val="Tahoma"/>
            <family val="2"/>
          </rPr>
          <t>Indtast den første arbejdsdag. 
Du starter med dag efterfulgt af en bindestreg, derefter måned bindestreg år.
DAG-MÅNED-ÅR.</t>
        </r>
      </text>
    </comment>
    <comment ref="H14" authorId="0">
      <text>
        <r>
          <rPr>
            <b/>
            <sz val="8"/>
            <rFont val="Tahoma"/>
            <family val="2"/>
          </rPr>
          <t>Indtast den sidste arbejdsdag. 
Du starter med dag efterfulgt af en bindestreg, derefter måned bindestreg år.
DAG-MÅNED-ÅR.</t>
        </r>
      </text>
    </comment>
    <comment ref="O14" authorId="0">
      <text>
        <r>
          <rPr>
            <b/>
            <sz val="8"/>
            <rFont val="Tahoma"/>
            <family val="2"/>
          </rPr>
          <t>Indtast den sidste arbejdsdag. 
Du starter med dag efterfulgt af en bindestreg, derefter måned bindestreg år.
DAG-MÅNED-ÅR.</t>
        </r>
      </text>
    </comment>
    <comment ref="H16" authorId="0">
      <text>
        <r>
          <rPr>
            <b/>
            <sz val="8"/>
            <rFont val="Tahoma"/>
            <family val="2"/>
          </rPr>
          <t>Indtast det timetal du er ansat på pr. uge</t>
        </r>
      </text>
    </comment>
    <comment ref="H18" authorId="0">
      <text>
        <r>
          <rPr>
            <b/>
            <sz val="8"/>
            <rFont val="Tahoma"/>
            <family val="2"/>
          </rPr>
          <t>Indtast det antal dage du har afholdt ferie i perioden.</t>
        </r>
      </text>
    </comment>
    <comment ref="O16" authorId="0">
      <text>
        <r>
          <rPr>
            <b/>
            <sz val="8"/>
            <rFont val="Tahoma"/>
            <family val="2"/>
          </rPr>
          <t>Indtast hvormange dage der er teoriindkald</t>
        </r>
      </text>
    </comment>
    <comment ref="O18" authorId="0">
      <text>
        <r>
          <rPr>
            <b/>
            <sz val="8"/>
            <rFont val="Tahoma"/>
            <family val="2"/>
          </rPr>
          <t>Indtast hvormange dage du holder ferie i perioden</t>
        </r>
      </text>
    </comment>
    <comment ref="H27" authorId="0">
      <text>
        <r>
          <rPr>
            <b/>
            <sz val="8"/>
            <rFont val="Tahoma"/>
            <family val="2"/>
          </rPr>
          <t>Her skrives de timer du har arbejdet, samt hvad der er planlagt for den resterende periode</t>
        </r>
      </text>
    </comment>
    <comment ref="H29" authorId="0">
      <text>
        <r>
          <rPr>
            <b/>
            <sz val="8"/>
            <rFont val="Tahoma"/>
            <family val="2"/>
          </rPr>
          <t>+ timer = for mange præsterede timer
-  timer = for lidt præsterede timer</t>
        </r>
      </text>
    </comment>
    <comment ref="O27" authorId="0">
      <text>
        <r>
          <rPr>
            <b/>
            <sz val="8"/>
            <rFont val="Tahoma"/>
            <family val="2"/>
          </rPr>
          <t>Her skrives de timer du har arbejdet, samt hvad der er planlagt for den resterende periode</t>
        </r>
        <r>
          <rPr>
            <sz val="8"/>
            <rFont val="Tahoma"/>
            <family val="2"/>
          </rPr>
          <t xml:space="preserve">
</t>
        </r>
      </text>
    </comment>
    <comment ref="O29" authorId="0">
      <text>
        <r>
          <rPr>
            <b/>
            <sz val="8"/>
            <rFont val="Tahoma"/>
            <family val="2"/>
          </rPr>
          <t>+ timer = for mange præsterede timer
-  timer = for lidt præsterede timer</t>
        </r>
      </text>
    </comment>
  </commentList>
</comments>
</file>

<file path=xl/comments3.xml><?xml version="1.0" encoding="utf-8"?>
<comments xmlns="http://schemas.openxmlformats.org/spreadsheetml/2006/main">
  <authors>
    <author>Michael Rosenberg</author>
  </authors>
  <commentList>
    <comment ref="F5" authorId="0">
      <text>
        <r>
          <rPr>
            <b/>
            <sz val="8"/>
            <rFont val="Tahoma"/>
            <family val="2"/>
          </rPr>
          <t>Indtast tilsynstimer pr. uge</t>
        </r>
      </text>
    </comment>
    <comment ref="F7" authorId="0">
      <text>
        <r>
          <rPr>
            <sz val="8"/>
            <rFont val="Tahoma"/>
            <family val="2"/>
          </rPr>
          <t xml:space="preserve">Indtast antal lektioner
</t>
        </r>
      </text>
    </comment>
  </commentList>
</comments>
</file>

<file path=xl/sharedStrings.xml><?xml version="1.0" encoding="utf-8"?>
<sst xmlns="http://schemas.openxmlformats.org/spreadsheetml/2006/main" count="163" uniqueCount="82">
  <si>
    <t>ÅRSNORM FOR AFKORTET PERIODE</t>
  </si>
  <si>
    <t>Start år</t>
  </si>
  <si>
    <t>Slut år</t>
  </si>
  <si>
    <t>Første arbejdsdag</t>
  </si>
  <si>
    <t>Første praktikdag</t>
  </si>
  <si>
    <t>Sidste arbejdsdag</t>
  </si>
  <si>
    <t>Sidste praktikdag</t>
  </si>
  <si>
    <t>Ugentligt timetal</t>
  </si>
  <si>
    <t>Antal dages teoriindkald</t>
  </si>
  <si>
    <t>Afholdt feriedage i perioden</t>
  </si>
  <si>
    <t>Antal søgnehelligdage i perioden</t>
  </si>
  <si>
    <t>Årsnorm</t>
  </si>
  <si>
    <t>Ferie/søgnehelligdage</t>
  </si>
  <si>
    <t>Timer til øvrige opgaver</t>
  </si>
  <si>
    <t>Tilsynstimer</t>
  </si>
  <si>
    <t>Gennemsnitligt tilsyn pr. uge</t>
  </si>
  <si>
    <t>Gennemsnitligt tilsyn pr. dag</t>
  </si>
  <si>
    <t>Årsnorm beregnet på baggrund af løntimetal</t>
  </si>
  <si>
    <t>Timer pr. uge</t>
  </si>
  <si>
    <t>Timer pr. år</t>
  </si>
  <si>
    <t>Lektioner pr. uge</t>
  </si>
  <si>
    <t>Antal feriedage</t>
  </si>
  <si>
    <t>pr. år</t>
  </si>
  <si>
    <t>pr. uge</t>
  </si>
  <si>
    <t>pr. dag</t>
  </si>
  <si>
    <t>Tilsynstimer i bhv. kl.</t>
  </si>
  <si>
    <t>Tilsynstimer i SFO</t>
  </si>
  <si>
    <t>Årsnorm beregnet på baggrund af tilsynstimetal</t>
  </si>
  <si>
    <t>Lektioner, eneunderv.</t>
  </si>
  <si>
    <t>Tilsynstimer ved eneansvar</t>
  </si>
  <si>
    <t>Løntimer</t>
  </si>
  <si>
    <t>Rådighedstid</t>
  </si>
  <si>
    <t>Ferie /helligdage</t>
  </si>
  <si>
    <t>Tilsynstid</t>
  </si>
  <si>
    <t>Arbejdsuger i SFO</t>
  </si>
  <si>
    <t>Årlige antal uger</t>
  </si>
  <si>
    <t>Antal ferieuger</t>
  </si>
  <si>
    <t>Antal helligdage</t>
  </si>
  <si>
    <t>Antal skoleuger</t>
  </si>
  <si>
    <t>omregningsfaktor</t>
  </si>
  <si>
    <t>omregningsfaktor eneansvar</t>
  </si>
  <si>
    <t>Optælling af arbejdsdage for en given periode.</t>
  </si>
  <si>
    <t>helligdagscheck</t>
  </si>
  <si>
    <t>første ansættelsesdag</t>
  </si>
  <si>
    <t>sidste ansættelsesdag</t>
  </si>
  <si>
    <t>beregn gyldentallet</t>
  </si>
  <si>
    <t>beregn epakten med korrektioner</t>
  </si>
  <si>
    <t>antal kalenderdage</t>
  </si>
  <si>
    <t>korrektion 1</t>
  </si>
  <si>
    <t>antal kalenderdage minus lø,sø</t>
  </si>
  <si>
    <t>korrektion 2</t>
  </si>
  <si>
    <t>antal helligdage i perioden</t>
  </si>
  <si>
    <t>antal feriedage i perioden</t>
  </si>
  <si>
    <t>epakt</t>
  </si>
  <si>
    <t>antal lukkedage</t>
  </si>
  <si>
    <t>beregn månens alder ved forårsjævndøgn (21/3)</t>
  </si>
  <si>
    <t>antal arbejdsdage</t>
  </si>
  <si>
    <t>beregn antal dage til fuldmåne</t>
  </si>
  <si>
    <t>beregn dato for påskefuldmåne</t>
  </si>
  <si>
    <t>find ugedagen for påskefuldmåne</t>
  </si>
  <si>
    <t>find næste søndag=påskesøndag</t>
  </si>
  <si>
    <t>nytårsdag</t>
  </si>
  <si>
    <t>fastelavn</t>
  </si>
  <si>
    <t>skærtorsdag</t>
  </si>
  <si>
    <t>langfredag</t>
  </si>
  <si>
    <t>påskedag</t>
  </si>
  <si>
    <t>2. påskedag</t>
  </si>
  <si>
    <t>kr. himmelfartsdag</t>
  </si>
  <si>
    <t>pinsedag</t>
  </si>
  <si>
    <t>2.pinsedag</t>
  </si>
  <si>
    <t>juledag</t>
  </si>
  <si>
    <t>2.juledag</t>
  </si>
  <si>
    <t>antal helligdage</t>
  </si>
  <si>
    <t>antal dages teoriindkald</t>
  </si>
  <si>
    <t>Pædagog</t>
  </si>
  <si>
    <t>Lønnet praktikant</t>
  </si>
  <si>
    <t>Timer som skal præsteres i perioden:</t>
  </si>
  <si>
    <t>Timer du har arbejdet i perioden</t>
  </si>
  <si>
    <t>Difference i tilsynstimer</t>
  </si>
  <si>
    <t>Skemaet skal bruges, hvis du afbryder eller er kommet ind i et nyt job uden for den normale opgørelsesperiode. For Skolepædagoger følges som regel skoleåret, for daginstitutionsområdet kan den enten følge kalenderåret, ferieåret eller skoleåret.</t>
  </si>
  <si>
    <t>Skemaet skal bruges, hvis du afbryder eller er kommet ind i et nyt job uden for den normale opgørelsesperiode. 
For Skolepædagoger følges som regel skoleåret, for daginstitutionsområdet kan den enten følge kalenderåret, ferieåret eller skoleåret.</t>
  </si>
  <si>
    <t>Pædagogiske timer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</si>
</sst>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d\-mmm\-yy"/>
    <numFmt numFmtId="187" formatCode="[$-406]d\.\ mmmm\ yyyy"/>
    <numFmt numFmtId="188" formatCode="d/mmm/yy"/>
    <numFmt numFmtId="189" formatCode="yy/mm/dd;@"/>
    <numFmt numFmtId="190" formatCode="dd/mm\ yyyy;@"/>
    <numFmt numFmtId="191" formatCode="0.0"/>
    <numFmt numFmtId="192" formatCode="0.000"/>
  </numFmts>
  <fonts count="55">
    <font>
      <sz val="9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4"/>
      <color indexed="22"/>
      <name val="Arial"/>
      <family val="2"/>
    </font>
    <font>
      <b/>
      <sz val="12"/>
      <color indexed="22"/>
      <name val="Arial"/>
      <family val="2"/>
    </font>
    <font>
      <sz val="12"/>
      <color indexed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sz val="9"/>
      <color indexed="52"/>
      <name val="Arial"/>
      <family val="2"/>
    </font>
    <font>
      <b/>
      <sz val="18"/>
      <color indexed="25"/>
      <name val="Quatro Slab SemiBold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18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b/>
      <sz val="18"/>
      <color theme="3"/>
      <name val="Quatro Slab SemiBold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3" applyNumberFormat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0" xfId="49" applyNumberFormat="1" applyFont="1" applyFill="1" applyAlignment="1">
      <alignment/>
      <protection/>
    </xf>
    <xf numFmtId="0" fontId="3" fillId="0" borderId="0" xfId="49" applyNumberFormat="1" applyFont="1" applyAlignment="1">
      <alignment/>
      <protection/>
    </xf>
    <xf numFmtId="0" fontId="1" fillId="0" borderId="0" xfId="49">
      <alignment/>
      <protection/>
    </xf>
    <xf numFmtId="0" fontId="1" fillId="0" borderId="0" xfId="49" applyNumberFormat="1" applyFont="1" applyAlignment="1">
      <alignment/>
      <protection/>
    </xf>
    <xf numFmtId="0" fontId="1" fillId="0" borderId="10" xfId="49" applyNumberFormat="1" applyFont="1" applyBorder="1">
      <alignment/>
      <protection/>
    </xf>
    <xf numFmtId="0" fontId="1" fillId="0" borderId="11" xfId="49" applyNumberFormat="1" applyFont="1" applyBorder="1">
      <alignment/>
      <protection/>
    </xf>
    <xf numFmtId="0" fontId="1" fillId="0" borderId="12" xfId="49" applyNumberFormat="1" applyFont="1" applyBorder="1">
      <alignment/>
      <protection/>
    </xf>
    <xf numFmtId="186" fontId="1" fillId="0" borderId="10" xfId="49" applyNumberFormat="1" applyFont="1" applyBorder="1">
      <alignment/>
      <protection/>
    </xf>
    <xf numFmtId="0" fontId="1" fillId="0" borderId="0" xfId="49" applyNumberFormat="1" applyFont="1">
      <alignment/>
      <protection/>
    </xf>
    <xf numFmtId="186" fontId="1" fillId="0" borderId="0" xfId="49" applyNumberFormat="1" applyFont="1">
      <alignment/>
      <protection/>
    </xf>
    <xf numFmtId="0" fontId="8" fillId="14" borderId="13" xfId="49" applyNumberFormat="1" applyFont="1" applyFill="1" applyBorder="1" applyAlignment="1">
      <alignment/>
      <protection/>
    </xf>
    <xf numFmtId="0" fontId="3" fillId="14" borderId="14" xfId="49" applyNumberFormat="1" applyFont="1" applyFill="1" applyBorder="1" applyAlignment="1">
      <alignment/>
      <protection/>
    </xf>
    <xf numFmtId="0" fontId="3" fillId="14" borderId="15" xfId="49" applyNumberFormat="1" applyFont="1" applyFill="1" applyBorder="1" applyAlignment="1">
      <alignment/>
      <protection/>
    </xf>
    <xf numFmtId="0" fontId="3" fillId="14" borderId="0" xfId="49" applyNumberFormat="1" applyFont="1" applyFill="1" applyBorder="1" applyAlignment="1">
      <alignment/>
      <protection/>
    </xf>
    <xf numFmtId="0" fontId="3" fillId="14" borderId="16" xfId="49" applyNumberFormat="1" applyFont="1" applyFill="1" applyBorder="1" applyAlignment="1">
      <alignment/>
      <protection/>
    </xf>
    <xf numFmtId="0" fontId="3" fillId="14" borderId="10" xfId="49" applyNumberFormat="1" applyFont="1" applyFill="1" applyBorder="1">
      <alignment/>
      <protection/>
    </xf>
    <xf numFmtId="0" fontId="3" fillId="14" borderId="11" xfId="49" applyNumberFormat="1" applyFont="1" applyFill="1" applyBorder="1">
      <alignment/>
      <protection/>
    </xf>
    <xf numFmtId="0" fontId="3" fillId="14" borderId="17" xfId="49" applyNumberFormat="1" applyFont="1" applyFill="1" applyBorder="1">
      <alignment/>
      <protection/>
    </xf>
    <xf numFmtId="0" fontId="3" fillId="14" borderId="0" xfId="49" applyNumberFormat="1" applyFont="1" applyFill="1" applyBorder="1">
      <alignment/>
      <protection/>
    </xf>
    <xf numFmtId="0" fontId="3" fillId="14" borderId="16" xfId="49" applyNumberFormat="1" applyFont="1" applyFill="1" applyBorder="1">
      <alignment/>
      <protection/>
    </xf>
    <xf numFmtId="0" fontId="3" fillId="14" borderId="12" xfId="49" applyNumberFormat="1" applyFont="1" applyFill="1" applyBorder="1">
      <alignment/>
      <protection/>
    </xf>
    <xf numFmtId="0" fontId="5" fillId="14" borderId="0" xfId="49" applyNumberFormat="1" applyFont="1" applyFill="1" applyBorder="1" applyAlignment="1">
      <alignment/>
      <protection/>
    </xf>
    <xf numFmtId="0" fontId="3" fillId="14" borderId="18" xfId="49" applyNumberFormat="1" applyFont="1" applyFill="1" applyBorder="1" applyAlignment="1" applyProtection="1">
      <alignment/>
      <protection locked="0"/>
    </xf>
    <xf numFmtId="0" fontId="3" fillId="14" borderId="19" xfId="49" applyNumberFormat="1" applyFont="1" applyFill="1" applyBorder="1" applyAlignment="1">
      <alignment/>
      <protection/>
    </xf>
    <xf numFmtId="0" fontId="7" fillId="14" borderId="0" xfId="49" applyNumberFormat="1" applyFont="1" applyFill="1" applyBorder="1" applyAlignment="1" applyProtection="1">
      <alignment/>
      <protection locked="0"/>
    </xf>
    <xf numFmtId="0" fontId="3" fillId="14" borderId="20" xfId="49" applyNumberFormat="1" applyFont="1" applyFill="1" applyBorder="1">
      <alignment/>
      <protection/>
    </xf>
    <xf numFmtId="0" fontId="5" fillId="14" borderId="21" xfId="49" applyNumberFormat="1" applyFont="1" applyFill="1" applyBorder="1" applyAlignment="1">
      <alignment/>
      <protection/>
    </xf>
    <xf numFmtId="0" fontId="3" fillId="14" borderId="21" xfId="49" applyNumberFormat="1" applyFont="1" applyFill="1" applyBorder="1" applyAlignment="1">
      <alignment/>
      <protection/>
    </xf>
    <xf numFmtId="0" fontId="3" fillId="14" borderId="22" xfId="49" applyNumberFormat="1" applyFont="1" applyFill="1" applyBorder="1" applyAlignment="1">
      <alignment/>
      <protection/>
    </xf>
    <xf numFmtId="0" fontId="3" fillId="14" borderId="23" xfId="49" applyNumberFormat="1" applyFont="1" applyFill="1" applyBorder="1" applyAlignment="1">
      <alignment/>
      <protection/>
    </xf>
    <xf numFmtId="0" fontId="3" fillId="14" borderId="24" xfId="49" applyNumberFormat="1" applyFont="1" applyFill="1" applyBorder="1">
      <alignment/>
      <protection/>
    </xf>
    <xf numFmtId="0" fontId="3" fillId="14" borderId="24" xfId="49" applyNumberFormat="1" applyFont="1" applyFill="1" applyBorder="1" applyAlignment="1">
      <alignment/>
      <protection/>
    </xf>
    <xf numFmtId="0" fontId="3" fillId="14" borderId="25" xfId="49" applyNumberFormat="1" applyFont="1" applyFill="1" applyBorder="1" applyAlignment="1">
      <alignment/>
      <protection/>
    </xf>
    <xf numFmtId="0" fontId="3" fillId="14" borderId="13" xfId="49" applyNumberFormat="1" applyFont="1" applyFill="1" applyBorder="1" applyAlignment="1">
      <alignment/>
      <protection/>
    </xf>
    <xf numFmtId="0" fontId="7" fillId="14" borderId="0" xfId="49" applyNumberFormat="1" applyFont="1" applyFill="1" applyBorder="1" applyAlignment="1">
      <alignment/>
      <protection/>
    </xf>
    <xf numFmtId="0" fontId="5" fillId="14" borderId="19" xfId="49" applyNumberFormat="1" applyFont="1" applyFill="1" applyBorder="1" applyAlignment="1">
      <alignment/>
      <protection/>
    </xf>
    <xf numFmtId="0" fontId="3" fillId="14" borderId="13" xfId="49" applyNumberFormat="1" applyFont="1" applyFill="1" applyBorder="1" applyAlignment="1" applyProtection="1">
      <alignment/>
      <protection/>
    </xf>
    <xf numFmtId="0" fontId="3" fillId="14" borderId="26" xfId="49" applyNumberFormat="1" applyFont="1" applyFill="1" applyBorder="1" applyAlignment="1" applyProtection="1">
      <alignment/>
      <protection/>
    </xf>
    <xf numFmtId="0" fontId="3" fillId="14" borderId="14" xfId="49" applyNumberFormat="1" applyFont="1" applyFill="1" applyBorder="1" applyAlignment="1" applyProtection="1">
      <alignment/>
      <protection/>
    </xf>
    <xf numFmtId="0" fontId="3" fillId="14" borderId="15" xfId="49" applyNumberFormat="1" applyFont="1" applyFill="1" applyBorder="1" applyAlignment="1" applyProtection="1">
      <alignment/>
      <protection/>
    </xf>
    <xf numFmtId="0" fontId="3" fillId="14" borderId="0" xfId="49" applyNumberFormat="1" applyFont="1" applyFill="1" applyBorder="1" applyAlignment="1" applyProtection="1">
      <alignment/>
      <protection/>
    </xf>
    <xf numFmtId="0" fontId="3" fillId="14" borderId="16" xfId="49" applyNumberFormat="1" applyFont="1" applyFill="1" applyBorder="1" applyAlignment="1" applyProtection="1">
      <alignment/>
      <protection/>
    </xf>
    <xf numFmtId="0" fontId="5" fillId="14" borderId="0" xfId="49" applyNumberFormat="1" applyFont="1" applyFill="1" applyBorder="1" applyAlignment="1" applyProtection="1">
      <alignment horizontal="center"/>
      <protection/>
    </xf>
    <xf numFmtId="0" fontId="4" fillId="14" borderId="0" xfId="49" applyNumberFormat="1" applyFont="1" applyFill="1" applyBorder="1" applyAlignment="1" applyProtection="1">
      <alignment/>
      <protection/>
    </xf>
    <xf numFmtId="0" fontId="5" fillId="14" borderId="0" xfId="49" applyNumberFormat="1" applyFont="1" applyFill="1" applyBorder="1" applyAlignment="1" applyProtection="1">
      <alignment/>
      <protection/>
    </xf>
    <xf numFmtId="0" fontId="3" fillId="14" borderId="10" xfId="49" applyNumberFormat="1" applyFont="1" applyFill="1" applyBorder="1" applyProtection="1">
      <alignment/>
      <protection/>
    </xf>
    <xf numFmtId="0" fontId="5" fillId="14" borderId="11" xfId="49" applyNumberFormat="1" applyFont="1" applyFill="1" applyBorder="1" applyAlignment="1" applyProtection="1">
      <alignment/>
      <protection/>
    </xf>
    <xf numFmtId="0" fontId="5" fillId="14" borderId="17" xfId="49" applyNumberFormat="1" applyFont="1" applyFill="1" applyBorder="1" applyAlignment="1" applyProtection="1">
      <alignment/>
      <protection/>
    </xf>
    <xf numFmtId="0" fontId="5" fillId="14" borderId="10" xfId="49" applyNumberFormat="1" applyFont="1" applyFill="1" applyBorder="1" applyAlignment="1" applyProtection="1">
      <alignment/>
      <protection/>
    </xf>
    <xf numFmtId="0" fontId="3" fillId="14" borderId="17" xfId="49" applyNumberFormat="1" applyFont="1" applyFill="1" applyBorder="1" applyProtection="1">
      <alignment/>
      <protection/>
    </xf>
    <xf numFmtId="0" fontId="3" fillId="14" borderId="0" xfId="49" applyNumberFormat="1" applyFont="1" applyFill="1" applyBorder="1" applyProtection="1">
      <alignment/>
      <protection/>
    </xf>
    <xf numFmtId="0" fontId="6" fillId="14" borderId="12" xfId="49" applyNumberFormat="1" applyFont="1" applyFill="1" applyBorder="1" applyAlignment="1" applyProtection="1">
      <alignment/>
      <protection/>
    </xf>
    <xf numFmtId="0" fontId="5" fillId="14" borderId="19" xfId="49" applyNumberFormat="1" applyFont="1" applyFill="1" applyBorder="1" applyAlignment="1" applyProtection="1">
      <alignment/>
      <protection/>
    </xf>
    <xf numFmtId="0" fontId="5" fillId="14" borderId="12" xfId="49" applyNumberFormat="1" applyFont="1" applyFill="1" applyBorder="1" applyAlignment="1" applyProtection="1">
      <alignment/>
      <protection/>
    </xf>
    <xf numFmtId="0" fontId="3" fillId="14" borderId="19" xfId="49" applyNumberFormat="1" applyFont="1" applyFill="1" applyBorder="1" applyAlignment="1" applyProtection="1">
      <alignment/>
      <protection/>
    </xf>
    <xf numFmtId="0" fontId="3" fillId="14" borderId="12" xfId="49" applyNumberFormat="1" applyFont="1" applyFill="1" applyBorder="1" applyProtection="1">
      <alignment/>
      <protection/>
    </xf>
    <xf numFmtId="0" fontId="12" fillId="14" borderId="0" xfId="49" applyNumberFormat="1" applyFont="1" applyFill="1" applyBorder="1" applyAlignment="1" applyProtection="1">
      <alignment/>
      <protection/>
    </xf>
    <xf numFmtId="0" fontId="3" fillId="14" borderId="19" xfId="49" applyNumberFormat="1" applyFont="1" applyFill="1" applyBorder="1" applyProtection="1">
      <alignment/>
      <protection/>
    </xf>
    <xf numFmtId="186" fontId="5" fillId="14" borderId="0" xfId="49" applyNumberFormat="1" applyFont="1" applyFill="1" applyBorder="1" applyAlignment="1" applyProtection="1">
      <alignment/>
      <protection/>
    </xf>
    <xf numFmtId="0" fontId="13" fillId="14" borderId="0" xfId="49" applyNumberFormat="1" applyFont="1" applyFill="1" applyBorder="1" applyAlignment="1" applyProtection="1">
      <alignment/>
      <protection/>
    </xf>
    <xf numFmtId="0" fontId="12" fillId="14" borderId="0" xfId="49" applyNumberFormat="1" applyFont="1" applyFill="1" applyBorder="1" applyAlignment="1" applyProtection="1">
      <alignment horizontal="right"/>
      <protection/>
    </xf>
    <xf numFmtId="2" fontId="12" fillId="14" borderId="0" xfId="49" applyNumberFormat="1" applyFont="1" applyFill="1" applyBorder="1" applyAlignment="1" applyProtection="1">
      <alignment/>
      <protection/>
    </xf>
    <xf numFmtId="0" fontId="13" fillId="14" borderId="27" xfId="49" applyNumberFormat="1" applyFont="1" applyFill="1" applyBorder="1" applyAlignment="1" applyProtection="1">
      <alignment/>
      <protection/>
    </xf>
    <xf numFmtId="0" fontId="5" fillId="14" borderId="27" xfId="49" applyNumberFormat="1" applyFont="1" applyFill="1" applyBorder="1" applyAlignment="1" applyProtection="1">
      <alignment/>
      <protection/>
    </xf>
    <xf numFmtId="2" fontId="12" fillId="14" borderId="27" xfId="49" applyNumberFormat="1" applyFont="1" applyFill="1" applyBorder="1" applyAlignment="1" applyProtection="1">
      <alignment/>
      <protection/>
    </xf>
    <xf numFmtId="0" fontId="12" fillId="14" borderId="27" xfId="49" applyNumberFormat="1" applyFont="1" applyFill="1" applyBorder="1" applyAlignment="1" applyProtection="1">
      <alignment/>
      <protection/>
    </xf>
    <xf numFmtId="0" fontId="11" fillId="14" borderId="0" xfId="49" applyNumberFormat="1" applyFont="1" applyFill="1" applyBorder="1" applyAlignment="1" applyProtection="1">
      <alignment/>
      <protection/>
    </xf>
    <xf numFmtId="0" fontId="15" fillId="14" borderId="0" xfId="49" applyNumberFormat="1" applyFont="1" applyFill="1" applyBorder="1" applyAlignment="1" applyProtection="1">
      <alignment/>
      <protection/>
    </xf>
    <xf numFmtId="0" fontId="14" fillId="14" borderId="28" xfId="49" applyNumberFormat="1" applyFont="1" applyFill="1" applyBorder="1" applyAlignment="1" applyProtection="1">
      <alignment/>
      <protection/>
    </xf>
    <xf numFmtId="0" fontId="11" fillId="14" borderId="28" xfId="49" applyNumberFormat="1" applyFont="1" applyFill="1" applyBorder="1" applyAlignment="1" applyProtection="1">
      <alignment/>
      <protection/>
    </xf>
    <xf numFmtId="2" fontId="15" fillId="14" borderId="28" xfId="49" applyNumberFormat="1" applyFont="1" applyFill="1" applyBorder="1" applyAlignment="1" applyProtection="1">
      <alignment/>
      <protection/>
    </xf>
    <xf numFmtId="0" fontId="15" fillId="14" borderId="28" xfId="49" applyNumberFormat="1" applyFont="1" applyFill="1" applyBorder="1" applyAlignment="1" applyProtection="1">
      <alignment/>
      <protection/>
    </xf>
    <xf numFmtId="0" fontId="3" fillId="14" borderId="20" xfId="49" applyNumberFormat="1" applyFont="1" applyFill="1" applyBorder="1" applyProtection="1">
      <alignment/>
      <protection/>
    </xf>
    <xf numFmtId="0" fontId="3" fillId="14" borderId="21" xfId="49" applyNumberFormat="1" applyFont="1" applyFill="1" applyBorder="1" applyAlignment="1" applyProtection="1">
      <alignment/>
      <protection/>
    </xf>
    <xf numFmtId="0" fontId="3" fillId="14" borderId="22" xfId="49" applyNumberFormat="1" applyFont="1" applyFill="1" applyBorder="1" applyAlignment="1" applyProtection="1">
      <alignment/>
      <protection/>
    </xf>
    <xf numFmtId="0" fontId="3" fillId="14" borderId="20" xfId="49" applyNumberFormat="1" applyFont="1" applyFill="1" applyBorder="1" applyAlignment="1" applyProtection="1">
      <alignment/>
      <protection/>
    </xf>
    <xf numFmtId="0" fontId="3" fillId="14" borderId="23" xfId="49" applyNumberFormat="1" applyFont="1" applyFill="1" applyBorder="1" applyAlignment="1" applyProtection="1">
      <alignment/>
      <protection/>
    </xf>
    <xf numFmtId="0" fontId="3" fillId="14" borderId="24" xfId="49" applyNumberFormat="1" applyFont="1" applyFill="1" applyBorder="1" applyAlignment="1" applyProtection="1">
      <alignment/>
      <protection/>
    </xf>
    <xf numFmtId="0" fontId="3" fillId="14" borderId="24" xfId="49" applyNumberFormat="1" applyFont="1" applyFill="1" applyBorder="1" applyProtection="1">
      <alignment/>
      <protection/>
    </xf>
    <xf numFmtId="0" fontId="3" fillId="14" borderId="25" xfId="49" applyNumberFormat="1" applyFont="1" applyFill="1" applyBorder="1" applyAlignment="1" applyProtection="1">
      <alignment/>
      <protection/>
    </xf>
    <xf numFmtId="0" fontId="1" fillId="34" borderId="29" xfId="49" applyNumberFormat="1" applyFont="1" applyFill="1" applyBorder="1" applyAlignment="1" applyProtection="1">
      <alignment horizontal="center"/>
      <protection locked="0"/>
    </xf>
    <xf numFmtId="190" fontId="1" fillId="34" borderId="18" xfId="49" applyNumberFormat="1" applyFont="1" applyFill="1" applyBorder="1" applyAlignment="1" applyProtection="1">
      <alignment/>
      <protection locked="0"/>
    </xf>
    <xf numFmtId="0" fontId="1" fillId="34" borderId="18" xfId="49" applyNumberFormat="1" applyFont="1" applyFill="1" applyBorder="1" applyAlignment="1" applyProtection="1">
      <alignment/>
      <protection locked="0"/>
    </xf>
    <xf numFmtId="0" fontId="17" fillId="34" borderId="29" xfId="49" applyNumberFormat="1" applyFont="1" applyFill="1" applyBorder="1" applyAlignment="1" applyProtection="1">
      <alignment/>
      <protection locked="0"/>
    </xf>
    <xf numFmtId="0" fontId="16" fillId="34" borderId="29" xfId="49" applyNumberFormat="1" applyFont="1" applyFill="1" applyBorder="1" applyAlignment="1" applyProtection="1">
      <alignment/>
      <protection locked="0"/>
    </xf>
    <xf numFmtId="0" fontId="3" fillId="35" borderId="0" xfId="49" applyNumberFormat="1" applyFont="1" applyFill="1" applyAlignment="1">
      <alignment/>
      <protection/>
    </xf>
    <xf numFmtId="0" fontId="4" fillId="14" borderId="0" xfId="49" applyNumberFormat="1" applyFont="1" applyFill="1" applyBorder="1" applyAlignment="1" applyProtection="1">
      <alignment horizontal="center"/>
      <protection/>
    </xf>
    <xf numFmtId="0" fontId="53" fillId="14" borderId="30" xfId="49" applyNumberFormat="1" applyFont="1" applyFill="1" applyBorder="1" applyAlignment="1" applyProtection="1">
      <alignment horizontal="center"/>
      <protection/>
    </xf>
    <xf numFmtId="0" fontId="53" fillId="14" borderId="31" xfId="49" applyNumberFormat="1" applyFont="1" applyFill="1" applyBorder="1" applyAlignment="1" applyProtection="1">
      <alignment horizontal="center"/>
      <protection/>
    </xf>
    <xf numFmtId="0" fontId="53" fillId="14" borderId="32" xfId="49" applyNumberFormat="1" applyFont="1" applyFill="1" applyBorder="1" applyAlignment="1" applyProtection="1">
      <alignment horizontal="center"/>
      <protection/>
    </xf>
    <xf numFmtId="0" fontId="12" fillId="14" borderId="33" xfId="49" applyNumberFormat="1" applyFont="1" applyFill="1" applyBorder="1" applyAlignment="1" applyProtection="1">
      <alignment horizontal="center" wrapText="1"/>
      <protection/>
    </xf>
    <xf numFmtId="0" fontId="12" fillId="14" borderId="34" xfId="49" applyNumberFormat="1" applyFont="1" applyFill="1" applyBorder="1" applyAlignment="1" applyProtection="1">
      <alignment horizontal="center" wrapText="1"/>
      <protection/>
    </xf>
    <xf numFmtId="0" fontId="12" fillId="14" borderId="35" xfId="49" applyNumberFormat="1" applyFont="1" applyFill="1" applyBorder="1" applyAlignment="1" applyProtection="1">
      <alignment horizontal="center" wrapText="1"/>
      <protection/>
    </xf>
    <xf numFmtId="0" fontId="4" fillId="14" borderId="26" xfId="49" applyNumberFormat="1" applyFont="1" applyFill="1" applyBorder="1" applyAlignment="1">
      <alignment horizontal="center"/>
      <protection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_ÅRSNORMSBEREGNING vs10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14</xdr:row>
      <xdr:rowOff>47625</xdr:rowOff>
    </xdr:from>
    <xdr:to>
      <xdr:col>22</xdr:col>
      <xdr:colOff>142875</xdr:colOff>
      <xdr:row>18</xdr:row>
      <xdr:rowOff>66675</xdr:rowOff>
    </xdr:to>
    <xdr:pic>
      <xdr:nvPicPr>
        <xdr:cNvPr id="1" name="Billede 1" descr="Et billede, der indeholder tekst&#10;&#10;Automatisk genereret beskrivelse"/>
        <xdr:cNvPicPr preferRelativeResize="1">
          <a:picLocks noChangeAspect="1"/>
        </xdr:cNvPicPr>
      </xdr:nvPicPr>
      <xdr:blipFill>
        <a:blip r:embed="rId1"/>
        <a:srcRect t="9503" r="40541" b="40270"/>
        <a:stretch>
          <a:fillRect/>
        </a:stretch>
      </xdr:blipFill>
      <xdr:spPr>
        <a:xfrm>
          <a:off x="9972675" y="3295650"/>
          <a:ext cx="2543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20</xdr:row>
      <xdr:rowOff>857250</xdr:rowOff>
    </xdr:from>
    <xdr:to>
      <xdr:col>13</xdr:col>
      <xdr:colOff>1028700</xdr:colOff>
      <xdr:row>21</xdr:row>
      <xdr:rowOff>438150</xdr:rowOff>
    </xdr:to>
    <xdr:pic>
      <xdr:nvPicPr>
        <xdr:cNvPr id="1" name="Billede 1" descr="Et billede, der indeholder tekst&#10;&#10;Automatisk genereret beskrivelse"/>
        <xdr:cNvPicPr preferRelativeResize="1">
          <a:picLocks noChangeAspect="1"/>
        </xdr:cNvPicPr>
      </xdr:nvPicPr>
      <xdr:blipFill>
        <a:blip r:embed="rId1"/>
        <a:srcRect t="9503" r="40541" b="40270"/>
        <a:stretch>
          <a:fillRect/>
        </a:stretch>
      </xdr:blipFill>
      <xdr:spPr>
        <a:xfrm>
          <a:off x="5124450" y="4514850"/>
          <a:ext cx="2533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23</xdr:row>
      <xdr:rowOff>723900</xdr:rowOff>
    </xdr:from>
    <xdr:to>
      <xdr:col>13</xdr:col>
      <xdr:colOff>971550</xdr:colOff>
      <xdr:row>24</xdr:row>
      <xdr:rowOff>314325</xdr:rowOff>
    </xdr:to>
    <xdr:pic>
      <xdr:nvPicPr>
        <xdr:cNvPr id="1" name="Billede 2" descr="Et billede, der indeholder tekst&#10;&#10;Automatisk genereret beskrivelse"/>
        <xdr:cNvPicPr preferRelativeResize="1">
          <a:picLocks noChangeAspect="1"/>
        </xdr:cNvPicPr>
      </xdr:nvPicPr>
      <xdr:blipFill>
        <a:blip r:embed="rId1"/>
        <a:srcRect t="9503" r="40541" b="40270"/>
        <a:stretch>
          <a:fillRect/>
        </a:stretch>
      </xdr:blipFill>
      <xdr:spPr>
        <a:xfrm>
          <a:off x="5067300" y="4800600"/>
          <a:ext cx="2533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34</xdr:row>
      <xdr:rowOff>19050</xdr:rowOff>
    </xdr:from>
    <xdr:to>
      <xdr:col>14</xdr:col>
      <xdr:colOff>857250</xdr:colOff>
      <xdr:row>38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44350" y="6496050"/>
          <a:ext cx="33623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 søgnehelligdagen sammenfaldende med en lørdag/søndag?</a:t>
          </a:r>
        </a:p>
      </xdr:txBody>
    </xdr:sp>
    <xdr:clientData/>
  </xdr:twoCellAnchor>
  <xdr:twoCellAnchor>
    <xdr:from>
      <xdr:col>14</xdr:col>
      <xdr:colOff>809625</xdr:colOff>
      <xdr:row>33</xdr:row>
      <xdr:rowOff>0</xdr:rowOff>
    </xdr:from>
    <xdr:to>
      <xdr:col>15</xdr:col>
      <xdr:colOff>561975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259050" y="628650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723900</xdr:colOff>
      <xdr:row>42</xdr:row>
      <xdr:rowOff>57150</xdr:rowOff>
    </xdr:from>
    <xdr:to>
      <xdr:col>21</xdr:col>
      <xdr:colOff>419100</xdr:colOff>
      <xdr:row>45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11800" y="7753350"/>
          <a:ext cx="32766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ligger søgnehelligdagen efter ansættelsesstart</a:t>
          </a:r>
        </a:p>
      </xdr:txBody>
    </xdr:sp>
    <xdr:clientData/>
  </xdr:twoCellAnchor>
  <xdr:twoCellAnchor>
    <xdr:from>
      <xdr:col>16</xdr:col>
      <xdr:colOff>942975</xdr:colOff>
      <xdr:row>33</xdr:row>
      <xdr:rowOff>171450</xdr:rowOff>
    </xdr:from>
    <xdr:to>
      <xdr:col>19</xdr:col>
      <xdr:colOff>685800</xdr:colOff>
      <xdr:row>42</xdr:row>
      <xdr:rowOff>57150</xdr:rowOff>
    </xdr:to>
    <xdr:sp>
      <xdr:nvSpPr>
        <xdr:cNvPr id="4" name="Line 4"/>
        <xdr:cNvSpPr>
          <a:spLocks/>
        </xdr:cNvSpPr>
      </xdr:nvSpPr>
      <xdr:spPr>
        <a:xfrm>
          <a:off x="17268825" y="6457950"/>
          <a:ext cx="26955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42</xdr:row>
      <xdr:rowOff>0</xdr:rowOff>
    </xdr:from>
    <xdr:to>
      <xdr:col>16</xdr:col>
      <xdr:colOff>542925</xdr:colOff>
      <xdr:row>45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096875" y="7696200"/>
          <a:ext cx="37719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ligger søgnehelligdagen før ansættelsesslut</a:t>
          </a:r>
        </a:p>
      </xdr:txBody>
    </xdr:sp>
    <xdr:clientData/>
  </xdr:twoCellAnchor>
  <xdr:twoCellAnchor>
    <xdr:from>
      <xdr:col>16</xdr:col>
      <xdr:colOff>28575</xdr:colOff>
      <xdr:row>33</xdr:row>
      <xdr:rowOff>171450</xdr:rowOff>
    </xdr:from>
    <xdr:to>
      <xdr:col>16</xdr:col>
      <xdr:colOff>190500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6354425" y="6457950"/>
          <a:ext cx="1619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34</xdr:row>
      <xdr:rowOff>19050</xdr:rowOff>
    </xdr:from>
    <xdr:to>
      <xdr:col>10</xdr:col>
      <xdr:colOff>371475</xdr:colOff>
      <xdr:row>38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067675" y="6496050"/>
          <a:ext cx="29908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beregningerne er kun anvendelige for perioden 1900 - 2199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34</xdr:row>
      <xdr:rowOff>19050</xdr:rowOff>
    </xdr:from>
    <xdr:to>
      <xdr:col>14</xdr:col>
      <xdr:colOff>857250</xdr:colOff>
      <xdr:row>38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44350" y="6505575"/>
          <a:ext cx="33623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 søgnehelligdagen sammenfaldende med en lørdag/søndag?</a:t>
          </a:r>
        </a:p>
      </xdr:txBody>
    </xdr:sp>
    <xdr:clientData/>
  </xdr:twoCellAnchor>
  <xdr:twoCellAnchor>
    <xdr:from>
      <xdr:col>14</xdr:col>
      <xdr:colOff>809625</xdr:colOff>
      <xdr:row>33</xdr:row>
      <xdr:rowOff>0</xdr:rowOff>
    </xdr:from>
    <xdr:to>
      <xdr:col>15</xdr:col>
      <xdr:colOff>628650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259050" y="6286500"/>
          <a:ext cx="714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723900</xdr:colOff>
      <xdr:row>42</xdr:row>
      <xdr:rowOff>57150</xdr:rowOff>
    </xdr:from>
    <xdr:to>
      <xdr:col>21</xdr:col>
      <xdr:colOff>419100</xdr:colOff>
      <xdr:row>45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21325" y="7848600"/>
          <a:ext cx="3276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ligger søgnehelligdagen efter ansættelsesstart</a:t>
          </a:r>
        </a:p>
      </xdr:txBody>
    </xdr:sp>
    <xdr:clientData/>
  </xdr:twoCellAnchor>
  <xdr:twoCellAnchor>
    <xdr:from>
      <xdr:col>16</xdr:col>
      <xdr:colOff>876300</xdr:colOff>
      <xdr:row>33</xdr:row>
      <xdr:rowOff>171450</xdr:rowOff>
    </xdr:from>
    <xdr:to>
      <xdr:col>19</xdr:col>
      <xdr:colOff>685800</xdr:colOff>
      <xdr:row>42</xdr:row>
      <xdr:rowOff>76200</xdr:rowOff>
    </xdr:to>
    <xdr:sp>
      <xdr:nvSpPr>
        <xdr:cNvPr id="4" name="Line 4"/>
        <xdr:cNvSpPr>
          <a:spLocks/>
        </xdr:cNvSpPr>
      </xdr:nvSpPr>
      <xdr:spPr>
        <a:xfrm>
          <a:off x="17297400" y="6457950"/>
          <a:ext cx="26765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42</xdr:row>
      <xdr:rowOff>0</xdr:rowOff>
    </xdr:from>
    <xdr:to>
      <xdr:col>16</xdr:col>
      <xdr:colOff>504825</xdr:colOff>
      <xdr:row>45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096875" y="7772400"/>
          <a:ext cx="3829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ligger søgnehelligdagen før ansættelsesslut</a:t>
          </a:r>
        </a:p>
      </xdr:txBody>
    </xdr:sp>
    <xdr:clientData/>
  </xdr:twoCellAnchor>
  <xdr:twoCellAnchor>
    <xdr:from>
      <xdr:col>16</xdr:col>
      <xdr:colOff>28575</xdr:colOff>
      <xdr:row>33</xdr:row>
      <xdr:rowOff>171450</xdr:rowOff>
    </xdr:from>
    <xdr:to>
      <xdr:col>16</xdr:col>
      <xdr:colOff>171450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6449675" y="6457950"/>
          <a:ext cx="1428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34</xdr:row>
      <xdr:rowOff>28575</xdr:rowOff>
    </xdr:from>
    <xdr:to>
      <xdr:col>10</xdr:col>
      <xdr:colOff>371475</xdr:colOff>
      <xdr:row>38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067675" y="6505575"/>
          <a:ext cx="2990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beregningerne er kun anvendelige for perioden 1900 - 2199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PL">
      <a:dk1>
        <a:srgbClr val="101820"/>
      </a:dk1>
      <a:lt1>
        <a:sysClr val="window" lastClr="FFFFFF"/>
      </a:lt1>
      <a:dk2>
        <a:srgbClr val="802346"/>
      </a:dk2>
      <a:lt2>
        <a:srgbClr val="C5DAE8"/>
      </a:lt2>
      <a:accent1>
        <a:srgbClr val="802346"/>
      </a:accent1>
      <a:accent2>
        <a:srgbClr val="E5007D"/>
      </a:accent2>
      <a:accent3>
        <a:srgbClr val="F28D30"/>
      </a:accent3>
      <a:accent4>
        <a:srgbClr val="FFC000"/>
      </a:accent4>
      <a:accent5>
        <a:srgbClr val="00AEB5"/>
      </a:accent5>
      <a:accent6>
        <a:srgbClr val="0D3F68"/>
      </a:accent6>
      <a:hlink>
        <a:srgbClr val="E5007D"/>
      </a:hlink>
      <a:folHlink>
        <a:srgbClr val="59595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showGridLines="0" showRowColHeaders="0" tabSelected="1" zoomScale="87" zoomScaleNormal="87" zoomScalePageLayoutView="0" workbookViewId="0" topLeftCell="A1">
      <selection activeCell="H7" sqref="H7"/>
    </sheetView>
  </sheetViews>
  <sheetFormatPr defaultColWidth="13.421875" defaultRowHeight="12"/>
  <cols>
    <col min="1" max="1" width="5.421875" style="2" customWidth="1"/>
    <col min="2" max="2" width="3.140625" style="2" customWidth="1"/>
    <col min="3" max="3" width="4.140625" style="2" customWidth="1"/>
    <col min="4" max="4" width="2.421875" style="2" customWidth="1"/>
    <col min="5" max="8" width="13.421875" style="2" customWidth="1"/>
    <col min="9" max="9" width="2.421875" style="2" customWidth="1"/>
    <col min="10" max="10" width="3.7109375" style="2" customWidth="1"/>
    <col min="11" max="11" width="2.421875" style="2" customWidth="1"/>
    <col min="12" max="15" width="13.421875" style="2" customWidth="1"/>
    <col min="16" max="16" width="2.421875" style="2" customWidth="1"/>
    <col min="17" max="17" width="4.140625" style="2" customWidth="1"/>
    <col min="18" max="18" width="3.140625" style="2" customWidth="1"/>
    <col min="19" max="19" width="4.421875" style="2" customWidth="1"/>
    <col min="20" max="16384" width="13.421875" style="2" customWidth="1"/>
  </cols>
  <sheetData>
    <row r="1" spans="1:54" ht="15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 customHeight="1" thickBot="1">
      <c r="A2" s="1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50.25" customHeight="1" thickBot="1">
      <c r="A3" s="1"/>
      <c r="B3" s="40"/>
      <c r="C3" s="41"/>
      <c r="D3" s="91" t="s">
        <v>80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41"/>
      <c r="R3" s="4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 customHeight="1">
      <c r="A4" s="1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 customHeight="1">
      <c r="A5" s="1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0.75" thickBot="1">
      <c r="A6" s="1"/>
      <c r="B6" s="40"/>
      <c r="C6" s="41"/>
      <c r="D6" s="41"/>
      <c r="E6" s="87" t="s">
        <v>0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41"/>
      <c r="Q6" s="41"/>
      <c r="R6" s="42"/>
      <c r="S6" s="1"/>
      <c r="T6" s="8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 thickBot="1">
      <c r="A7" s="1"/>
      <c r="B7" s="40"/>
      <c r="C7" s="41"/>
      <c r="D7" s="41"/>
      <c r="E7" s="43"/>
      <c r="F7" s="43"/>
      <c r="G7" s="43" t="s">
        <v>1</v>
      </c>
      <c r="H7" s="81"/>
      <c r="I7" s="43"/>
      <c r="J7" s="43"/>
      <c r="K7" s="43"/>
      <c r="L7" s="43" t="s">
        <v>2</v>
      </c>
      <c r="M7" s="81"/>
      <c r="N7" s="43"/>
      <c r="O7" s="43"/>
      <c r="P7" s="41"/>
      <c r="Q7" s="41"/>
      <c r="R7" s="4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4.5" customHeight="1" thickBot="1">
      <c r="A8" s="1"/>
      <c r="B8" s="40"/>
      <c r="C8" s="41"/>
      <c r="D8" s="41"/>
      <c r="E8" s="44"/>
      <c r="F8" s="44"/>
      <c r="G8" s="44"/>
      <c r="H8" s="44"/>
      <c r="I8" s="44"/>
      <c r="J8" s="44"/>
      <c r="K8" s="45"/>
      <c r="L8" s="45"/>
      <c r="M8" s="45"/>
      <c r="N8" s="45"/>
      <c r="O8" s="45"/>
      <c r="P8" s="41"/>
      <c r="Q8" s="41"/>
      <c r="R8" s="4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4.5" customHeight="1" thickBot="1">
      <c r="A9" s="1"/>
      <c r="B9" s="40"/>
      <c r="C9" s="41"/>
      <c r="D9" s="46"/>
      <c r="E9" s="47"/>
      <c r="F9" s="47"/>
      <c r="G9" s="47"/>
      <c r="H9" s="47"/>
      <c r="I9" s="48"/>
      <c r="J9" s="45"/>
      <c r="K9" s="49"/>
      <c r="L9" s="47"/>
      <c r="M9" s="47"/>
      <c r="N9" s="47"/>
      <c r="O9" s="47"/>
      <c r="P9" s="50"/>
      <c r="Q9" s="51"/>
      <c r="R9" s="4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4" thickBot="1">
      <c r="A10" s="1"/>
      <c r="B10" s="40"/>
      <c r="C10" s="41"/>
      <c r="D10" s="52"/>
      <c r="E10" s="88" t="s">
        <v>74</v>
      </c>
      <c r="F10" s="89"/>
      <c r="G10" s="89"/>
      <c r="H10" s="90"/>
      <c r="I10" s="53"/>
      <c r="J10" s="45"/>
      <c r="K10" s="54"/>
      <c r="L10" s="88" t="s">
        <v>75</v>
      </c>
      <c r="M10" s="89"/>
      <c r="N10" s="89"/>
      <c r="O10" s="90"/>
      <c r="P10" s="55"/>
      <c r="Q10" s="51"/>
      <c r="R10" s="4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6.5" thickBot="1">
      <c r="A11" s="1"/>
      <c r="B11" s="40"/>
      <c r="C11" s="41"/>
      <c r="D11" s="56"/>
      <c r="E11" s="45"/>
      <c r="F11" s="45"/>
      <c r="G11" s="45"/>
      <c r="H11" s="45"/>
      <c r="I11" s="53"/>
      <c r="J11" s="45"/>
      <c r="K11" s="54"/>
      <c r="L11" s="45"/>
      <c r="M11" s="45"/>
      <c r="N11" s="45"/>
      <c r="O11" s="45"/>
      <c r="P11" s="55"/>
      <c r="Q11" s="51"/>
      <c r="R11" s="4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6.5" thickBot="1">
      <c r="A12" s="1"/>
      <c r="B12" s="40"/>
      <c r="C12" s="41"/>
      <c r="D12" s="56"/>
      <c r="E12" s="57" t="s">
        <v>3</v>
      </c>
      <c r="F12" s="45"/>
      <c r="G12" s="45"/>
      <c r="H12" s="82"/>
      <c r="I12" s="53"/>
      <c r="J12" s="45"/>
      <c r="K12" s="54"/>
      <c r="L12" s="57" t="s">
        <v>4</v>
      </c>
      <c r="M12" s="45"/>
      <c r="N12" s="45"/>
      <c r="O12" s="82"/>
      <c r="P12" s="58"/>
      <c r="Q12" s="51"/>
      <c r="R12" s="4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6.5" thickBot="1">
      <c r="A13" s="1"/>
      <c r="B13" s="40"/>
      <c r="C13" s="41"/>
      <c r="D13" s="56"/>
      <c r="E13" s="57"/>
      <c r="F13" s="45"/>
      <c r="G13" s="45"/>
      <c r="H13" s="59"/>
      <c r="I13" s="53"/>
      <c r="J13" s="45"/>
      <c r="K13" s="54"/>
      <c r="L13" s="57"/>
      <c r="M13" s="45"/>
      <c r="N13" s="45"/>
      <c r="O13" s="59"/>
      <c r="P13" s="58"/>
      <c r="Q13" s="51"/>
      <c r="R13" s="4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6.5" thickBot="1">
      <c r="A14" s="1"/>
      <c r="B14" s="40"/>
      <c r="C14" s="41"/>
      <c r="D14" s="56"/>
      <c r="E14" s="57" t="s">
        <v>5</v>
      </c>
      <c r="F14" s="45"/>
      <c r="G14" s="45"/>
      <c r="H14" s="82"/>
      <c r="I14" s="53"/>
      <c r="J14" s="45"/>
      <c r="K14" s="54"/>
      <c r="L14" s="57" t="s">
        <v>6</v>
      </c>
      <c r="M14" s="45"/>
      <c r="N14" s="45"/>
      <c r="O14" s="82"/>
      <c r="P14" s="58"/>
      <c r="Q14" s="51"/>
      <c r="R14" s="4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6.5" thickBot="1">
      <c r="A15" s="1"/>
      <c r="B15" s="40"/>
      <c r="C15" s="41"/>
      <c r="D15" s="56"/>
      <c r="E15" s="57"/>
      <c r="F15" s="45"/>
      <c r="G15" s="45"/>
      <c r="H15" s="45"/>
      <c r="I15" s="53"/>
      <c r="J15" s="45"/>
      <c r="K15" s="54"/>
      <c r="L15" s="57"/>
      <c r="M15" s="45"/>
      <c r="N15" s="45"/>
      <c r="O15" s="45"/>
      <c r="P15" s="55"/>
      <c r="Q15" s="51"/>
      <c r="R15" s="4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6.5" thickBot="1">
      <c r="A16" s="1"/>
      <c r="B16" s="40"/>
      <c r="C16" s="41"/>
      <c r="D16" s="56"/>
      <c r="E16" s="57" t="s">
        <v>7</v>
      </c>
      <c r="F16" s="45"/>
      <c r="G16" s="45"/>
      <c r="H16" s="83"/>
      <c r="I16" s="53"/>
      <c r="J16" s="45"/>
      <c r="K16" s="54"/>
      <c r="L16" s="57" t="s">
        <v>8</v>
      </c>
      <c r="M16" s="45"/>
      <c r="N16" s="45"/>
      <c r="O16" s="83"/>
      <c r="P16" s="58"/>
      <c r="Q16" s="51"/>
      <c r="R16" s="4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6.5" thickBot="1">
      <c r="A17" s="1"/>
      <c r="B17" s="40"/>
      <c r="C17" s="41"/>
      <c r="D17" s="56"/>
      <c r="E17" s="57"/>
      <c r="F17" s="45"/>
      <c r="G17" s="45"/>
      <c r="H17" s="45"/>
      <c r="I17" s="53"/>
      <c r="J17" s="45"/>
      <c r="K17" s="54"/>
      <c r="L17" s="57"/>
      <c r="M17" s="45"/>
      <c r="N17" s="45"/>
      <c r="O17" s="45"/>
      <c r="P17" s="58"/>
      <c r="Q17" s="51"/>
      <c r="R17" s="4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6.5" thickBot="1">
      <c r="A18" s="1"/>
      <c r="B18" s="40"/>
      <c r="C18" s="41"/>
      <c r="D18" s="56"/>
      <c r="E18" s="57" t="s">
        <v>9</v>
      </c>
      <c r="F18" s="45"/>
      <c r="G18" s="45"/>
      <c r="H18" s="83"/>
      <c r="I18" s="53"/>
      <c r="J18" s="45"/>
      <c r="K18" s="54"/>
      <c r="L18" s="57" t="s">
        <v>9</v>
      </c>
      <c r="M18" s="45"/>
      <c r="N18" s="45"/>
      <c r="O18" s="83"/>
      <c r="P18" s="58"/>
      <c r="Q18" s="51"/>
      <c r="R18" s="4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1"/>
      <c r="B19" s="40"/>
      <c r="C19" s="41"/>
      <c r="D19" s="56"/>
      <c r="E19" s="60"/>
      <c r="F19" s="45"/>
      <c r="G19" s="45"/>
      <c r="H19" s="45"/>
      <c r="I19" s="53"/>
      <c r="J19" s="45"/>
      <c r="K19" s="54"/>
      <c r="L19" s="57"/>
      <c r="M19" s="45"/>
      <c r="N19" s="45"/>
      <c r="O19" s="45"/>
      <c r="P19" s="58"/>
      <c r="Q19" s="51"/>
      <c r="R19" s="4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1"/>
      <c r="B20" s="40"/>
      <c r="C20" s="41"/>
      <c r="D20" s="56"/>
      <c r="E20" s="57" t="s">
        <v>10</v>
      </c>
      <c r="F20" s="45"/>
      <c r="G20" s="45"/>
      <c r="H20" s="57">
        <f>'beregn ass.'!B8</f>
        <v>0</v>
      </c>
      <c r="I20" s="53"/>
      <c r="J20" s="45"/>
      <c r="K20" s="54"/>
      <c r="L20" s="57" t="s">
        <v>10</v>
      </c>
      <c r="M20" s="45"/>
      <c r="N20" s="45"/>
      <c r="O20" s="57">
        <f>'beregn prakt.'!B8</f>
        <v>0</v>
      </c>
      <c r="P20" s="55"/>
      <c r="Q20" s="51"/>
      <c r="R20" s="4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1"/>
      <c r="B21" s="40"/>
      <c r="C21" s="41"/>
      <c r="D21" s="56"/>
      <c r="E21" s="60"/>
      <c r="F21" s="45"/>
      <c r="G21" s="45"/>
      <c r="H21" s="57"/>
      <c r="I21" s="53"/>
      <c r="J21" s="45"/>
      <c r="K21" s="54"/>
      <c r="L21" s="57"/>
      <c r="M21" s="45"/>
      <c r="N21" s="45"/>
      <c r="O21" s="57"/>
      <c r="P21" s="55"/>
      <c r="Q21" s="51"/>
      <c r="R21" s="4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1"/>
      <c r="B22" s="40"/>
      <c r="C22" s="41"/>
      <c r="D22" s="56"/>
      <c r="E22" s="60" t="s">
        <v>76</v>
      </c>
      <c r="F22" s="45"/>
      <c r="G22" s="45"/>
      <c r="H22" s="61"/>
      <c r="I22" s="53"/>
      <c r="J22" s="45"/>
      <c r="K22" s="54"/>
      <c r="L22" s="60" t="s">
        <v>76</v>
      </c>
      <c r="M22" s="45"/>
      <c r="N22" s="45"/>
      <c r="O22" s="61"/>
      <c r="P22" s="55"/>
      <c r="Q22" s="51"/>
      <c r="R22" s="4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1"/>
      <c r="B23" s="40"/>
      <c r="C23" s="41"/>
      <c r="D23" s="56"/>
      <c r="E23" s="57" t="s">
        <v>11</v>
      </c>
      <c r="F23" s="45"/>
      <c r="G23" s="45"/>
      <c r="H23" s="62">
        <f>ROUND('beregn ass.'!B7*H16/5,2)</f>
        <v>0</v>
      </c>
      <c r="I23" s="53"/>
      <c r="J23" s="45"/>
      <c r="K23" s="54"/>
      <c r="L23" s="57" t="s">
        <v>11</v>
      </c>
      <c r="M23" s="45"/>
      <c r="N23" s="45"/>
      <c r="O23" s="57">
        <v>780</v>
      </c>
      <c r="P23" s="55"/>
      <c r="Q23" s="51"/>
      <c r="R23" s="4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1"/>
      <c r="B24" s="40"/>
      <c r="C24" s="41"/>
      <c r="D24" s="56"/>
      <c r="E24" s="57" t="s">
        <v>12</v>
      </c>
      <c r="F24" s="45"/>
      <c r="G24" s="45"/>
      <c r="H24" s="62">
        <f>ROUND((H18*H16/5)+('beregn ass.'!B8*H16/5),2)</f>
        <v>0</v>
      </c>
      <c r="I24" s="53"/>
      <c r="J24" s="45"/>
      <c r="K24" s="54"/>
      <c r="L24" s="57" t="s">
        <v>12</v>
      </c>
      <c r="M24" s="45"/>
      <c r="N24" s="45"/>
      <c r="O24" s="57">
        <f>ROUND((O18*6)+('beregn prakt.'!B8*6),0)</f>
        <v>0</v>
      </c>
      <c r="P24" s="55"/>
      <c r="Q24" s="51"/>
      <c r="R24" s="4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1"/>
      <c r="B25" s="40"/>
      <c r="C25" s="41"/>
      <c r="D25" s="56"/>
      <c r="E25" s="57"/>
      <c r="F25" s="45"/>
      <c r="G25" s="45"/>
      <c r="H25" s="57"/>
      <c r="I25" s="53"/>
      <c r="J25" s="45"/>
      <c r="K25" s="54"/>
      <c r="L25" s="57"/>
      <c r="M25" s="45"/>
      <c r="N25" s="45"/>
      <c r="O25" s="57"/>
      <c r="P25" s="55"/>
      <c r="Q25" s="51"/>
      <c r="R25" s="4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6.5" thickBot="1">
      <c r="A26" s="1"/>
      <c r="B26" s="40"/>
      <c r="C26" s="41"/>
      <c r="D26" s="56"/>
      <c r="E26" s="63" t="s">
        <v>81</v>
      </c>
      <c r="F26" s="64"/>
      <c r="G26" s="64"/>
      <c r="H26" s="65">
        <f>H23-H24-H25</f>
        <v>0</v>
      </c>
      <c r="I26" s="53"/>
      <c r="J26" s="45"/>
      <c r="K26" s="54"/>
      <c r="L26" s="66" t="s">
        <v>81</v>
      </c>
      <c r="M26" s="64"/>
      <c r="N26" s="64"/>
      <c r="O26" s="66">
        <f>O23-O24-O25</f>
        <v>780</v>
      </c>
      <c r="P26" s="55"/>
      <c r="Q26" s="51"/>
      <c r="R26" s="4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8.75" thickBot="1">
      <c r="A27" s="1"/>
      <c r="B27" s="40"/>
      <c r="C27" s="41"/>
      <c r="D27" s="56"/>
      <c r="E27" s="60" t="s">
        <v>77</v>
      </c>
      <c r="F27" s="67"/>
      <c r="G27" s="67"/>
      <c r="H27" s="85">
        <v>0</v>
      </c>
      <c r="I27" s="53"/>
      <c r="J27" s="45"/>
      <c r="K27" s="54"/>
      <c r="L27" s="60" t="s">
        <v>77</v>
      </c>
      <c r="M27" s="67"/>
      <c r="N27" s="67"/>
      <c r="O27" s="84"/>
      <c r="P27" s="55"/>
      <c r="Q27" s="51"/>
      <c r="R27" s="4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3.75" customHeight="1">
      <c r="A28" s="1"/>
      <c r="B28" s="40"/>
      <c r="C28" s="41"/>
      <c r="D28" s="56"/>
      <c r="E28" s="60"/>
      <c r="F28" s="67"/>
      <c r="G28" s="67"/>
      <c r="H28" s="67"/>
      <c r="I28" s="53"/>
      <c r="J28" s="45"/>
      <c r="K28" s="54"/>
      <c r="L28" s="68"/>
      <c r="M28" s="67"/>
      <c r="N28" s="67"/>
      <c r="O28" s="68"/>
      <c r="P28" s="55"/>
      <c r="Q28" s="51"/>
      <c r="R28" s="4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.75" thickBot="1">
      <c r="A29" s="1"/>
      <c r="B29" s="40"/>
      <c r="C29" s="41"/>
      <c r="D29" s="56"/>
      <c r="E29" s="69" t="s">
        <v>78</v>
      </c>
      <c r="F29" s="70"/>
      <c r="G29" s="70"/>
      <c r="H29" s="71">
        <f>H27-H26</f>
        <v>0</v>
      </c>
      <c r="I29" s="53"/>
      <c r="J29" s="45"/>
      <c r="K29" s="54"/>
      <c r="L29" s="69" t="s">
        <v>78</v>
      </c>
      <c r="M29" s="70"/>
      <c r="N29" s="70"/>
      <c r="O29" s="72">
        <f>O27-O26</f>
        <v>-780</v>
      </c>
      <c r="P29" s="55"/>
      <c r="Q29" s="51"/>
      <c r="R29" s="4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6.5" thickTop="1">
      <c r="A30" s="1"/>
      <c r="B30" s="40"/>
      <c r="C30" s="41"/>
      <c r="D30" s="56"/>
      <c r="E30" s="60"/>
      <c r="F30" s="45"/>
      <c r="G30" s="45"/>
      <c r="H30" s="57"/>
      <c r="I30" s="53"/>
      <c r="J30" s="45"/>
      <c r="K30" s="54"/>
      <c r="L30" s="57"/>
      <c r="M30" s="45"/>
      <c r="N30" s="45"/>
      <c r="O30" s="57"/>
      <c r="P30" s="55"/>
      <c r="Q30" s="51"/>
      <c r="R30" s="4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5" customHeight="1">
      <c r="A31" s="1"/>
      <c r="B31" s="40"/>
      <c r="C31" s="41"/>
      <c r="D31" s="56"/>
      <c r="E31" s="60" t="s">
        <v>15</v>
      </c>
      <c r="F31" s="45"/>
      <c r="G31" s="45"/>
      <c r="H31" s="57" t="e">
        <f>H32*5</f>
        <v>#DIV/0!</v>
      </c>
      <c r="I31" s="53"/>
      <c r="J31" s="45"/>
      <c r="K31" s="54"/>
      <c r="L31" s="57" t="s">
        <v>15</v>
      </c>
      <c r="M31" s="45"/>
      <c r="N31" s="45"/>
      <c r="O31" s="57" t="e">
        <f>O32*5</f>
        <v>#DIV/0!</v>
      </c>
      <c r="P31" s="55"/>
      <c r="Q31" s="51"/>
      <c r="R31" s="4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1"/>
      <c r="B32" s="40"/>
      <c r="C32" s="41"/>
      <c r="D32" s="56"/>
      <c r="E32" s="60" t="s">
        <v>16</v>
      </c>
      <c r="F32" s="45"/>
      <c r="G32" s="45"/>
      <c r="H32" s="57" t="e">
        <f>ROUND(H26/'beregn ass.'!B11,1)</f>
        <v>#DIV/0!</v>
      </c>
      <c r="I32" s="53"/>
      <c r="J32" s="45"/>
      <c r="K32" s="54"/>
      <c r="L32" s="57" t="s">
        <v>16</v>
      </c>
      <c r="M32" s="45"/>
      <c r="N32" s="45"/>
      <c r="O32" s="57" t="e">
        <f>ROUND(O26/'beregn prakt.'!B12,1)</f>
        <v>#DIV/0!</v>
      </c>
      <c r="P32" s="55"/>
      <c r="Q32" s="51"/>
      <c r="R32" s="4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6" customHeight="1" thickBot="1">
      <c r="A33" s="1"/>
      <c r="B33" s="40"/>
      <c r="C33" s="41"/>
      <c r="D33" s="73"/>
      <c r="E33" s="74"/>
      <c r="F33" s="74"/>
      <c r="G33" s="74"/>
      <c r="H33" s="74"/>
      <c r="I33" s="75"/>
      <c r="J33" s="41"/>
      <c r="K33" s="76"/>
      <c r="L33" s="74"/>
      <c r="M33" s="74"/>
      <c r="N33" s="74"/>
      <c r="O33" s="74"/>
      <c r="P33" s="75"/>
      <c r="Q33" s="51"/>
      <c r="R33" s="4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7.75" customHeight="1" thickBot="1">
      <c r="A34" s="1"/>
      <c r="B34" s="77"/>
      <c r="C34" s="78"/>
      <c r="D34" s="79"/>
      <c r="E34" s="79"/>
      <c r="F34" s="79"/>
      <c r="G34" s="79"/>
      <c r="H34" s="79"/>
      <c r="I34" s="79"/>
      <c r="J34" s="78"/>
      <c r="K34" s="79"/>
      <c r="L34" s="79"/>
      <c r="M34" s="79"/>
      <c r="N34" s="79"/>
      <c r="O34" s="79"/>
      <c r="P34" s="79"/>
      <c r="Q34" s="78"/>
      <c r="R34" s="80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</sheetData>
  <sheetProtection password="C9DF" sheet="1"/>
  <mergeCells count="4">
    <mergeCell ref="E6:O6"/>
    <mergeCell ref="E10:H10"/>
    <mergeCell ref="L10:O10"/>
    <mergeCell ref="D3:P3"/>
  </mergeCells>
  <printOptions horizontalCentered="1" verticalCentered="1"/>
  <pageMargins left="0.5118110236220472" right="0.5118110236220472" top="0.5118110236220472" bottom="0.5118110236220472" header="0" footer="0"/>
  <pageSetup fitToHeight="1" fitToWidth="1" horizontalDpi="600" verticalDpi="600" orientation="landscape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2"/>
  <sheetViews>
    <sheetView showGridLines="0" zoomScale="87" zoomScaleNormal="87" zoomScalePageLayoutView="0" workbookViewId="0" topLeftCell="A1">
      <selection activeCell="B2" sqref="B2:V22"/>
    </sheetView>
  </sheetViews>
  <sheetFormatPr defaultColWidth="13.421875" defaultRowHeight="12"/>
  <cols>
    <col min="1" max="1" width="20.57421875" style="2" customWidth="1"/>
    <col min="2" max="2" width="4.140625" style="2" customWidth="1"/>
    <col min="3" max="3" width="2.421875" style="2" customWidth="1"/>
    <col min="4" max="4" width="29.8515625" style="2" customWidth="1"/>
    <col min="5" max="5" width="2.421875" style="2" customWidth="1"/>
    <col min="6" max="6" width="9.28125" style="2" customWidth="1"/>
    <col min="7" max="7" width="2.421875" style="2" customWidth="1"/>
    <col min="8" max="8" width="9.28125" style="2" customWidth="1"/>
    <col min="9" max="9" width="2.421875" style="2" customWidth="1"/>
    <col min="10" max="10" width="9.28125" style="2" customWidth="1"/>
    <col min="11" max="13" width="2.421875" style="2" customWidth="1"/>
    <col min="14" max="14" width="29.8515625" style="2" customWidth="1"/>
    <col min="15" max="15" width="2.421875" style="2" customWidth="1"/>
    <col min="16" max="16" width="9.28125" style="2" customWidth="1"/>
    <col min="17" max="17" width="2.421875" style="2" customWidth="1"/>
    <col min="18" max="18" width="9.28125" style="2" customWidth="1"/>
    <col min="19" max="19" width="2.421875" style="2" customWidth="1"/>
    <col min="20" max="20" width="9.28125" style="2" customWidth="1"/>
    <col min="21" max="21" width="2.421875" style="2" customWidth="1"/>
    <col min="22" max="22" width="4.140625" style="2" customWidth="1"/>
    <col min="23" max="16384" width="13.421875" style="2" customWidth="1"/>
  </cols>
  <sheetData>
    <row r="1" spans="1:53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1"/>
      <c r="B2" s="34"/>
      <c r="C2" s="94" t="s">
        <v>17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6.5" thickBot="1">
      <c r="A3" s="1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6" customHeight="1" thickBot="1">
      <c r="A4" s="1"/>
      <c r="B4" s="13"/>
      <c r="C4" s="16"/>
      <c r="D4" s="17"/>
      <c r="E4" s="17"/>
      <c r="F4" s="17"/>
      <c r="G4" s="17"/>
      <c r="H4" s="17"/>
      <c r="I4" s="17"/>
      <c r="J4" s="17"/>
      <c r="K4" s="18"/>
      <c r="L4" s="19"/>
      <c r="M4" s="16"/>
      <c r="N4" s="17"/>
      <c r="O4" s="17"/>
      <c r="P4" s="17"/>
      <c r="Q4" s="17"/>
      <c r="R4" s="17"/>
      <c r="S4" s="17"/>
      <c r="T4" s="17"/>
      <c r="U4" s="18"/>
      <c r="V4" s="2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6.5" thickBot="1">
      <c r="A5" s="1"/>
      <c r="B5" s="13"/>
      <c r="C5" s="21"/>
      <c r="D5" s="22" t="s">
        <v>18</v>
      </c>
      <c r="E5" s="14"/>
      <c r="F5" s="23">
        <v>37</v>
      </c>
      <c r="G5" s="14"/>
      <c r="H5" s="14"/>
      <c r="I5" s="14"/>
      <c r="J5" s="14"/>
      <c r="K5" s="24"/>
      <c r="L5" s="19"/>
      <c r="M5" s="21"/>
      <c r="N5" s="22" t="s">
        <v>19</v>
      </c>
      <c r="O5" s="14"/>
      <c r="P5" s="23">
        <v>1924</v>
      </c>
      <c r="Q5" s="14"/>
      <c r="R5" s="14"/>
      <c r="S5" s="14"/>
      <c r="T5" s="14"/>
      <c r="U5" s="24"/>
      <c r="V5" s="2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3.75" customHeight="1" thickBot="1">
      <c r="A6" s="1"/>
      <c r="B6" s="13"/>
      <c r="C6" s="21"/>
      <c r="D6" s="22"/>
      <c r="E6" s="14"/>
      <c r="F6" s="35"/>
      <c r="G6" s="14"/>
      <c r="H6" s="14"/>
      <c r="I6" s="14"/>
      <c r="J6" s="14"/>
      <c r="K6" s="24"/>
      <c r="L6" s="19"/>
      <c r="M6" s="21"/>
      <c r="N6" s="22"/>
      <c r="O6" s="14"/>
      <c r="P6" s="35"/>
      <c r="Q6" s="14"/>
      <c r="R6" s="14"/>
      <c r="S6" s="14"/>
      <c r="T6" s="14"/>
      <c r="U6" s="24"/>
      <c r="V6" s="20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6.5" thickBot="1">
      <c r="A7" s="1"/>
      <c r="B7" s="13"/>
      <c r="C7" s="21"/>
      <c r="D7" s="22" t="s">
        <v>20</v>
      </c>
      <c r="E7" s="14"/>
      <c r="F7" s="23">
        <v>0</v>
      </c>
      <c r="G7" s="14"/>
      <c r="H7" s="14"/>
      <c r="I7" s="14"/>
      <c r="J7" s="14"/>
      <c r="K7" s="24"/>
      <c r="L7" s="19"/>
      <c r="M7" s="21"/>
      <c r="N7" s="22" t="s">
        <v>20</v>
      </c>
      <c r="O7" s="14"/>
      <c r="P7" s="23">
        <v>0</v>
      </c>
      <c r="Q7" s="14"/>
      <c r="R7" s="14"/>
      <c r="S7" s="14"/>
      <c r="T7" s="14"/>
      <c r="U7" s="24"/>
      <c r="V7" s="2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.75" customHeight="1" thickBot="1">
      <c r="A8" s="1"/>
      <c r="B8" s="13"/>
      <c r="C8" s="21"/>
      <c r="D8" s="22"/>
      <c r="E8" s="14"/>
      <c r="F8" s="35"/>
      <c r="G8" s="14"/>
      <c r="H8" s="14"/>
      <c r="I8" s="14"/>
      <c r="J8" s="14"/>
      <c r="K8" s="24"/>
      <c r="L8" s="19"/>
      <c r="M8" s="21"/>
      <c r="N8" s="22"/>
      <c r="O8" s="14"/>
      <c r="P8" s="35"/>
      <c r="Q8" s="14"/>
      <c r="R8" s="14"/>
      <c r="S8" s="14"/>
      <c r="T8" s="14"/>
      <c r="U8" s="24"/>
      <c r="V8" s="2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6.5" thickBot="1">
      <c r="A9" s="1"/>
      <c r="B9" s="13"/>
      <c r="C9" s="21"/>
      <c r="D9" s="22" t="s">
        <v>21</v>
      </c>
      <c r="E9" s="14"/>
      <c r="F9" s="23">
        <v>30</v>
      </c>
      <c r="G9" s="14"/>
      <c r="H9" s="14"/>
      <c r="I9" s="14"/>
      <c r="J9" s="14"/>
      <c r="K9" s="24"/>
      <c r="L9" s="19"/>
      <c r="M9" s="21"/>
      <c r="N9" s="22" t="s">
        <v>21</v>
      </c>
      <c r="O9" s="14"/>
      <c r="P9" s="23">
        <v>30</v>
      </c>
      <c r="Q9" s="14"/>
      <c r="R9" s="14"/>
      <c r="S9" s="14"/>
      <c r="T9" s="14"/>
      <c r="U9" s="24"/>
      <c r="V9" s="2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>
      <c r="A10" s="1"/>
      <c r="B10" s="13"/>
      <c r="C10" s="21"/>
      <c r="D10" s="22"/>
      <c r="E10" s="14"/>
      <c r="F10" s="14"/>
      <c r="G10" s="14"/>
      <c r="H10" s="14"/>
      <c r="I10" s="14"/>
      <c r="J10" s="14"/>
      <c r="K10" s="24"/>
      <c r="L10" s="19"/>
      <c r="M10" s="21"/>
      <c r="N10" s="22"/>
      <c r="O10" s="14"/>
      <c r="P10" s="14"/>
      <c r="Q10" s="14"/>
      <c r="R10" s="14"/>
      <c r="S10" s="14"/>
      <c r="T10" s="14"/>
      <c r="U10" s="24"/>
      <c r="V10" s="20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>
      <c r="A11" s="1"/>
      <c r="B11" s="13"/>
      <c r="C11" s="21"/>
      <c r="D11" s="22"/>
      <c r="E11" s="14"/>
      <c r="F11" s="14"/>
      <c r="G11" s="14"/>
      <c r="H11" s="14"/>
      <c r="I11" s="14"/>
      <c r="J11" s="14"/>
      <c r="K11" s="24"/>
      <c r="L11" s="19"/>
      <c r="M11" s="21"/>
      <c r="N11" s="22"/>
      <c r="O11" s="14"/>
      <c r="P11" s="14"/>
      <c r="Q11" s="14"/>
      <c r="R11" s="14"/>
      <c r="S11" s="14"/>
      <c r="T11" s="14"/>
      <c r="U11" s="24"/>
      <c r="V11" s="2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>
      <c r="A12" s="1"/>
      <c r="B12" s="13"/>
      <c r="C12" s="21"/>
      <c r="D12" s="22"/>
      <c r="E12" s="14"/>
      <c r="F12" s="14"/>
      <c r="G12" s="14"/>
      <c r="H12" s="14"/>
      <c r="I12" s="14"/>
      <c r="J12" s="14"/>
      <c r="K12" s="24"/>
      <c r="L12" s="19"/>
      <c r="M12" s="21"/>
      <c r="N12" s="22"/>
      <c r="O12" s="14"/>
      <c r="P12" s="14"/>
      <c r="Q12" s="14"/>
      <c r="R12" s="14"/>
      <c r="S12" s="14"/>
      <c r="T12" s="14"/>
      <c r="U12" s="24"/>
      <c r="V12" s="2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>
      <c r="A13" s="1"/>
      <c r="B13" s="13"/>
      <c r="C13" s="21"/>
      <c r="D13" s="22"/>
      <c r="E13" s="22"/>
      <c r="F13" s="22" t="s">
        <v>22</v>
      </c>
      <c r="G13" s="22"/>
      <c r="H13" s="22" t="s">
        <v>23</v>
      </c>
      <c r="I13" s="22"/>
      <c r="J13" s="22" t="s">
        <v>24</v>
      </c>
      <c r="K13" s="36"/>
      <c r="L13" s="19"/>
      <c r="M13" s="21"/>
      <c r="N13" s="22"/>
      <c r="O13" s="22"/>
      <c r="P13" s="22" t="s">
        <v>22</v>
      </c>
      <c r="Q13" s="22"/>
      <c r="R13" s="22" t="s">
        <v>23</v>
      </c>
      <c r="S13" s="22"/>
      <c r="T13" s="22" t="s">
        <v>24</v>
      </c>
      <c r="U13" s="24"/>
      <c r="V13" s="2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>
      <c r="A14" s="1"/>
      <c r="B14" s="13"/>
      <c r="C14" s="21"/>
      <c r="D14" s="22" t="s">
        <v>11</v>
      </c>
      <c r="E14" s="22"/>
      <c r="F14" s="22">
        <f>F5*52</f>
        <v>1924</v>
      </c>
      <c r="G14" s="22"/>
      <c r="H14" s="22">
        <f>ROUND(F14/52,1)</f>
        <v>37</v>
      </c>
      <c r="I14" s="22"/>
      <c r="J14" s="22">
        <f>ROUND(H14/5,1)</f>
        <v>7.4</v>
      </c>
      <c r="K14" s="36"/>
      <c r="L14" s="19"/>
      <c r="M14" s="21"/>
      <c r="N14" s="22" t="s">
        <v>11</v>
      </c>
      <c r="O14" s="22"/>
      <c r="P14" s="22">
        <f>P5</f>
        <v>1924</v>
      </c>
      <c r="Q14" s="22"/>
      <c r="R14" s="22">
        <f>ROUND(P14/52,1)</f>
        <v>37</v>
      </c>
      <c r="S14" s="22"/>
      <c r="T14" s="22">
        <f>ROUND(R14/5,1)</f>
        <v>7.4</v>
      </c>
      <c r="U14" s="24"/>
      <c r="V14" s="2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>
      <c r="A15" s="1"/>
      <c r="B15" s="13"/>
      <c r="C15" s="21"/>
      <c r="D15" s="22" t="s">
        <v>12</v>
      </c>
      <c r="E15" s="22"/>
      <c r="F15" s="22">
        <f>ROUND((F9*F5/5)+(9*F5/5),0)</f>
        <v>289</v>
      </c>
      <c r="G15" s="22"/>
      <c r="H15" s="22">
        <f>H14</f>
        <v>37</v>
      </c>
      <c r="I15" s="22"/>
      <c r="J15" s="22">
        <f>J14</f>
        <v>7.4</v>
      </c>
      <c r="K15" s="36"/>
      <c r="L15" s="19"/>
      <c r="M15" s="21"/>
      <c r="N15" s="22" t="s">
        <v>12</v>
      </c>
      <c r="O15" s="22"/>
      <c r="P15" s="22">
        <f>ROUND((P9*P5/52/5)+(9*P5/52/5),0)</f>
        <v>289</v>
      </c>
      <c r="Q15" s="22"/>
      <c r="R15" s="22">
        <f>R14</f>
        <v>37</v>
      </c>
      <c r="S15" s="22"/>
      <c r="T15" s="22">
        <f>T14</f>
        <v>7.4</v>
      </c>
      <c r="U15" s="24"/>
      <c r="V15" s="2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>
      <c r="A16" s="1"/>
      <c r="B16" s="13"/>
      <c r="C16" s="21"/>
      <c r="D16" s="22" t="s">
        <v>13</v>
      </c>
      <c r="E16" s="22"/>
      <c r="F16" s="22">
        <f>ROUND(218*F5/37,0)</f>
        <v>218</v>
      </c>
      <c r="G16" s="22"/>
      <c r="H16" s="22">
        <f>ROUND(F16/45,1)</f>
        <v>4.8</v>
      </c>
      <c r="I16" s="22"/>
      <c r="J16" s="22">
        <f>ROUND(H16/5,1)</f>
        <v>1</v>
      </c>
      <c r="K16" s="36"/>
      <c r="L16" s="19"/>
      <c r="M16" s="21"/>
      <c r="N16" s="22" t="s">
        <v>13</v>
      </c>
      <c r="O16" s="22"/>
      <c r="P16" s="22">
        <f>ROUND(218*P5/1924,0)</f>
        <v>218</v>
      </c>
      <c r="Q16" s="22"/>
      <c r="R16" s="22">
        <f>ROUND(P16/45,1)</f>
        <v>4.8</v>
      </c>
      <c r="S16" s="22"/>
      <c r="T16" s="22">
        <f>ROUND(R16/5,1)</f>
        <v>1</v>
      </c>
      <c r="U16" s="24"/>
      <c r="V16" s="2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>
      <c r="A17" s="1"/>
      <c r="B17" s="13"/>
      <c r="C17" s="21"/>
      <c r="D17" s="22" t="s">
        <v>14</v>
      </c>
      <c r="E17" s="22"/>
      <c r="F17" s="22">
        <f>F14-F15-F16</f>
        <v>1417</v>
      </c>
      <c r="G17" s="22"/>
      <c r="H17" s="22">
        <f>ROUND(F17/45,1)</f>
        <v>31.5</v>
      </c>
      <c r="I17" s="22"/>
      <c r="J17" s="22">
        <f>ROUND(H17/5,1)</f>
        <v>6.3</v>
      </c>
      <c r="K17" s="36"/>
      <c r="L17" s="19"/>
      <c r="M17" s="21"/>
      <c r="N17" s="22" t="s">
        <v>14</v>
      </c>
      <c r="O17" s="22"/>
      <c r="P17" s="22">
        <f>P14-P15-P16</f>
        <v>1417</v>
      </c>
      <c r="Q17" s="22"/>
      <c r="R17" s="22">
        <f>ROUND(P17/45,1)</f>
        <v>31.5</v>
      </c>
      <c r="S17" s="22"/>
      <c r="T17" s="22">
        <f>ROUND(R17/5,1)</f>
        <v>6.3</v>
      </c>
      <c r="U17" s="24"/>
      <c r="V17" s="2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>
      <c r="A18" s="1"/>
      <c r="B18" s="13"/>
      <c r="C18" s="21"/>
      <c r="D18" s="22" t="s">
        <v>25</v>
      </c>
      <c r="E18" s="22"/>
      <c r="F18" s="22">
        <f>F7*40*1.3</f>
        <v>0</v>
      </c>
      <c r="G18" s="22"/>
      <c r="H18" s="22">
        <f>ROUND(F18/45,1)</f>
        <v>0</v>
      </c>
      <c r="I18" s="22"/>
      <c r="J18" s="22">
        <f>ROUND(H18/5,1)</f>
        <v>0</v>
      </c>
      <c r="K18" s="36"/>
      <c r="L18" s="19"/>
      <c r="M18" s="21"/>
      <c r="N18" s="22" t="s">
        <v>25</v>
      </c>
      <c r="O18" s="22"/>
      <c r="P18" s="22">
        <f>P7*40*1.3</f>
        <v>0</v>
      </c>
      <c r="Q18" s="22"/>
      <c r="R18" s="22">
        <f>ROUND(P18/45,1)</f>
        <v>0</v>
      </c>
      <c r="S18" s="22"/>
      <c r="T18" s="22">
        <f>ROUND(R18/5,1)</f>
        <v>0</v>
      </c>
      <c r="U18" s="24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>
      <c r="A19" s="1"/>
      <c r="B19" s="13"/>
      <c r="C19" s="21"/>
      <c r="D19" s="22" t="s">
        <v>26</v>
      </c>
      <c r="E19" s="22"/>
      <c r="F19" s="22">
        <f>F17-F18</f>
        <v>1417</v>
      </c>
      <c r="G19" s="22"/>
      <c r="H19" s="22">
        <f>ROUND(F19/45,1)</f>
        <v>31.5</v>
      </c>
      <c r="I19" s="22"/>
      <c r="J19" s="22">
        <f>ROUND(H19/5,1)</f>
        <v>6.3</v>
      </c>
      <c r="K19" s="36"/>
      <c r="L19" s="19"/>
      <c r="M19" s="21"/>
      <c r="N19" s="22" t="s">
        <v>26</v>
      </c>
      <c r="O19" s="22"/>
      <c r="P19" s="22">
        <f>P17-P18</f>
        <v>1417</v>
      </c>
      <c r="Q19" s="22"/>
      <c r="R19" s="22">
        <f>ROUND(P19/45,1)</f>
        <v>31.5</v>
      </c>
      <c r="S19" s="22"/>
      <c r="T19" s="22">
        <f>ROUND(R19/5,1)</f>
        <v>6.3</v>
      </c>
      <c r="U19" s="24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4.5" customHeight="1" thickBot="1">
      <c r="A20" s="1"/>
      <c r="B20" s="13"/>
      <c r="C20" s="26"/>
      <c r="D20" s="28"/>
      <c r="E20" s="28"/>
      <c r="F20" s="28"/>
      <c r="G20" s="28"/>
      <c r="H20" s="28"/>
      <c r="I20" s="28"/>
      <c r="J20" s="28"/>
      <c r="K20" s="29"/>
      <c r="L20" s="19"/>
      <c r="M20" s="26"/>
      <c r="N20" s="28"/>
      <c r="O20" s="28"/>
      <c r="P20" s="28"/>
      <c r="Q20" s="28"/>
      <c r="R20" s="28"/>
      <c r="S20" s="28"/>
      <c r="T20" s="28"/>
      <c r="U20" s="29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99.75" customHeight="1">
      <c r="A21" s="1"/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4"/>
      <c r="M21" s="19"/>
      <c r="N21" s="19"/>
      <c r="O21" s="19"/>
      <c r="P21" s="19"/>
      <c r="Q21" s="19"/>
      <c r="R21" s="19"/>
      <c r="S21" s="19"/>
      <c r="T21" s="19"/>
      <c r="U21" s="19"/>
      <c r="V21" s="1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99.75" customHeight="1" thickBot="1">
      <c r="A22" s="1"/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</sheetData>
  <sheetProtection password="C9DF" sheet="1" objects="1" scenarios="1"/>
  <mergeCells count="1">
    <mergeCell ref="C2:U2"/>
  </mergeCells>
  <printOptions/>
  <pageMargins left="0.5" right="0.5" top="0.5" bottom="0.5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2"/>
  <sheetViews>
    <sheetView showGridLines="0" zoomScale="87" zoomScaleNormal="87" zoomScalePageLayoutView="0" workbookViewId="0" topLeftCell="A1">
      <selection activeCell="V25" sqref="B2:V25"/>
    </sheetView>
  </sheetViews>
  <sheetFormatPr defaultColWidth="13.421875" defaultRowHeight="12"/>
  <cols>
    <col min="1" max="1" width="20.57421875" style="2" customWidth="1"/>
    <col min="2" max="2" width="4.140625" style="2" customWidth="1"/>
    <col min="3" max="3" width="2.421875" style="2" customWidth="1"/>
    <col min="4" max="4" width="29.8515625" style="2" customWidth="1"/>
    <col min="5" max="5" width="2.421875" style="2" customWidth="1"/>
    <col min="6" max="6" width="9.28125" style="2" customWidth="1"/>
    <col min="7" max="7" width="2.421875" style="2" customWidth="1"/>
    <col min="8" max="8" width="9.28125" style="2" customWidth="1"/>
    <col min="9" max="9" width="2.421875" style="2" customWidth="1"/>
    <col min="10" max="10" width="9.28125" style="2" customWidth="1"/>
    <col min="11" max="13" width="2.421875" style="2" customWidth="1"/>
    <col min="14" max="14" width="29.8515625" style="2" customWidth="1"/>
    <col min="15" max="15" width="2.421875" style="2" customWidth="1"/>
    <col min="16" max="16" width="9.28125" style="2" customWidth="1"/>
    <col min="17" max="17" width="2.421875" style="2" customWidth="1"/>
    <col min="18" max="18" width="9.28125" style="2" customWidth="1"/>
    <col min="19" max="19" width="2.421875" style="2" customWidth="1"/>
    <col min="20" max="20" width="9.28125" style="2" customWidth="1"/>
    <col min="21" max="21" width="2.421875" style="2" customWidth="1"/>
    <col min="22" max="22" width="4.140625" style="2" customWidth="1"/>
    <col min="23" max="16384" width="13.421875" style="2" customWidth="1"/>
  </cols>
  <sheetData>
    <row r="1" spans="1:4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>
      <c r="A2" s="1"/>
      <c r="B2" s="11"/>
      <c r="C2" s="94" t="s">
        <v>27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6.5" thickBot="1">
      <c r="A3" s="1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.75" customHeight="1" thickBot="1">
      <c r="A4" s="1"/>
      <c r="B4" s="13"/>
      <c r="C4" s="16"/>
      <c r="D4" s="17"/>
      <c r="E4" s="17"/>
      <c r="F4" s="17"/>
      <c r="G4" s="17"/>
      <c r="H4" s="17"/>
      <c r="I4" s="17"/>
      <c r="J4" s="17"/>
      <c r="K4" s="18"/>
      <c r="L4" s="19"/>
      <c r="M4" s="16"/>
      <c r="N4" s="17"/>
      <c r="O4" s="17"/>
      <c r="P4" s="17"/>
      <c r="Q4" s="17"/>
      <c r="R4" s="17"/>
      <c r="S4" s="17"/>
      <c r="T4" s="17"/>
      <c r="U4" s="18"/>
      <c r="V4" s="2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6.5" thickBot="1">
      <c r="A5" s="1"/>
      <c r="B5" s="13"/>
      <c r="C5" s="21"/>
      <c r="D5" s="22" t="s">
        <v>18</v>
      </c>
      <c r="E5" s="14"/>
      <c r="F5" s="23">
        <v>31.5</v>
      </c>
      <c r="G5" s="14"/>
      <c r="H5" s="14"/>
      <c r="I5" s="14"/>
      <c r="J5" s="14"/>
      <c r="K5" s="24"/>
      <c r="L5" s="19"/>
      <c r="M5" s="21"/>
      <c r="N5" s="22" t="s">
        <v>19</v>
      </c>
      <c r="O5" s="14"/>
      <c r="P5" s="23">
        <f>+Forudsætninger!C6</f>
        <v>1417</v>
      </c>
      <c r="Q5" s="14"/>
      <c r="R5" s="14"/>
      <c r="S5" s="14"/>
      <c r="T5" s="14"/>
      <c r="U5" s="24"/>
      <c r="V5" s="2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.75" customHeight="1" thickBot="1">
      <c r="A6" s="1"/>
      <c r="B6" s="13"/>
      <c r="C6" s="21"/>
      <c r="D6" s="22"/>
      <c r="E6" s="14"/>
      <c r="F6" s="25"/>
      <c r="G6" s="14"/>
      <c r="H6" s="14"/>
      <c r="I6" s="14"/>
      <c r="J6" s="14"/>
      <c r="K6" s="24"/>
      <c r="L6" s="19"/>
      <c r="M6" s="21"/>
      <c r="N6" s="22"/>
      <c r="O6" s="14"/>
      <c r="P6" s="25"/>
      <c r="Q6" s="14"/>
      <c r="R6" s="14"/>
      <c r="S6" s="14"/>
      <c r="T6" s="14"/>
      <c r="U6" s="24"/>
      <c r="V6" s="20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6.5" thickBot="1">
      <c r="A7" s="1"/>
      <c r="B7" s="13"/>
      <c r="C7" s="21"/>
      <c r="D7" s="22" t="s">
        <v>20</v>
      </c>
      <c r="E7" s="14"/>
      <c r="F7" s="23">
        <v>0</v>
      </c>
      <c r="G7" s="14"/>
      <c r="H7" s="14"/>
      <c r="I7" s="14"/>
      <c r="J7" s="14"/>
      <c r="K7" s="24"/>
      <c r="L7" s="19"/>
      <c r="M7" s="21"/>
      <c r="N7" s="22" t="s">
        <v>20</v>
      </c>
      <c r="O7" s="14"/>
      <c r="P7" s="23">
        <v>0</v>
      </c>
      <c r="Q7" s="14"/>
      <c r="R7" s="14"/>
      <c r="S7" s="14"/>
      <c r="T7" s="14"/>
      <c r="U7" s="24"/>
      <c r="V7" s="2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3.75" customHeight="1" thickBot="1">
      <c r="A8" s="1"/>
      <c r="B8" s="13"/>
      <c r="C8" s="21"/>
      <c r="D8" s="22"/>
      <c r="E8" s="14"/>
      <c r="F8" s="25"/>
      <c r="G8" s="14"/>
      <c r="H8" s="14"/>
      <c r="I8" s="14"/>
      <c r="J8" s="14"/>
      <c r="K8" s="24"/>
      <c r="L8" s="19"/>
      <c r="M8" s="21"/>
      <c r="N8" s="22"/>
      <c r="O8" s="14"/>
      <c r="P8" s="25"/>
      <c r="Q8" s="14"/>
      <c r="R8" s="14"/>
      <c r="S8" s="14"/>
      <c r="T8" s="14"/>
      <c r="U8" s="24"/>
      <c r="V8" s="2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thickBot="1">
      <c r="A9" s="1"/>
      <c r="B9" s="13"/>
      <c r="C9" s="21"/>
      <c r="D9" s="22" t="s">
        <v>28</v>
      </c>
      <c r="E9" s="14"/>
      <c r="F9" s="23">
        <v>0</v>
      </c>
      <c r="G9" s="14"/>
      <c r="H9" s="14"/>
      <c r="I9" s="14"/>
      <c r="J9" s="14"/>
      <c r="K9" s="24"/>
      <c r="L9" s="19"/>
      <c r="M9" s="21"/>
      <c r="N9" s="22" t="s">
        <v>28</v>
      </c>
      <c r="O9" s="14"/>
      <c r="P9" s="23"/>
      <c r="Q9" s="14"/>
      <c r="R9" s="14"/>
      <c r="S9" s="14"/>
      <c r="T9" s="14"/>
      <c r="U9" s="24"/>
      <c r="V9" s="2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.75" customHeight="1" thickBot="1">
      <c r="A10" s="1"/>
      <c r="B10" s="13"/>
      <c r="C10" s="21"/>
      <c r="D10" s="22"/>
      <c r="E10" s="14"/>
      <c r="F10" s="25"/>
      <c r="G10" s="14"/>
      <c r="H10" s="14"/>
      <c r="I10" s="14"/>
      <c r="J10" s="14"/>
      <c r="K10" s="24"/>
      <c r="L10" s="19"/>
      <c r="M10" s="21"/>
      <c r="N10" s="22"/>
      <c r="O10" s="14"/>
      <c r="P10" s="25"/>
      <c r="Q10" s="14"/>
      <c r="R10" s="14"/>
      <c r="S10" s="14"/>
      <c r="T10" s="14"/>
      <c r="U10" s="24"/>
      <c r="V10" s="20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6.5" thickBot="1">
      <c r="A11" s="1"/>
      <c r="B11" s="13"/>
      <c r="C11" s="21"/>
      <c r="D11" s="22" t="s">
        <v>21</v>
      </c>
      <c r="E11" s="14"/>
      <c r="F11" s="23">
        <v>30</v>
      </c>
      <c r="G11" s="14"/>
      <c r="H11" s="14"/>
      <c r="I11" s="14"/>
      <c r="J11" s="14"/>
      <c r="K11" s="24"/>
      <c r="L11" s="19"/>
      <c r="M11" s="21"/>
      <c r="N11" s="22" t="s">
        <v>21</v>
      </c>
      <c r="O11" s="14"/>
      <c r="P11" s="23">
        <v>30</v>
      </c>
      <c r="Q11" s="14"/>
      <c r="R11" s="14"/>
      <c r="S11" s="14"/>
      <c r="T11" s="14"/>
      <c r="U11" s="24"/>
      <c r="V11" s="2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.75">
      <c r="A12" s="1"/>
      <c r="B12" s="13"/>
      <c r="C12" s="21"/>
      <c r="D12" s="22"/>
      <c r="E12" s="22"/>
      <c r="F12" s="22"/>
      <c r="G12" s="22"/>
      <c r="H12" s="22"/>
      <c r="I12" s="22"/>
      <c r="J12" s="22"/>
      <c r="K12" s="24"/>
      <c r="L12" s="19"/>
      <c r="M12" s="21"/>
      <c r="N12" s="22"/>
      <c r="O12" s="14"/>
      <c r="P12" s="14"/>
      <c r="Q12" s="14"/>
      <c r="R12" s="14"/>
      <c r="S12" s="14"/>
      <c r="T12" s="14"/>
      <c r="U12" s="24"/>
      <c r="V12" s="2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5.75">
      <c r="A13" s="1"/>
      <c r="B13" s="13"/>
      <c r="C13" s="21"/>
      <c r="D13" s="22"/>
      <c r="E13" s="22"/>
      <c r="F13" s="22"/>
      <c r="G13" s="22"/>
      <c r="H13" s="22"/>
      <c r="I13" s="22"/>
      <c r="J13" s="22"/>
      <c r="K13" s="24"/>
      <c r="L13" s="19"/>
      <c r="M13" s="21"/>
      <c r="N13" s="22"/>
      <c r="O13" s="14"/>
      <c r="P13" s="14"/>
      <c r="Q13" s="14"/>
      <c r="R13" s="14"/>
      <c r="S13" s="14"/>
      <c r="T13" s="14"/>
      <c r="U13" s="24"/>
      <c r="V13" s="2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.75">
      <c r="A14" s="1"/>
      <c r="B14" s="13"/>
      <c r="C14" s="21"/>
      <c r="D14" s="22"/>
      <c r="E14" s="22"/>
      <c r="F14" s="22"/>
      <c r="G14" s="22"/>
      <c r="H14" s="22"/>
      <c r="I14" s="22"/>
      <c r="J14" s="22"/>
      <c r="K14" s="24"/>
      <c r="L14" s="19"/>
      <c r="M14" s="21"/>
      <c r="N14" s="22"/>
      <c r="O14" s="14"/>
      <c r="P14" s="14"/>
      <c r="Q14" s="14"/>
      <c r="R14" s="14"/>
      <c r="S14" s="14"/>
      <c r="T14" s="14"/>
      <c r="U14" s="24"/>
      <c r="V14" s="2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.75">
      <c r="A15" s="1"/>
      <c r="B15" s="13"/>
      <c r="C15" s="21"/>
      <c r="D15" s="22"/>
      <c r="E15" s="22"/>
      <c r="F15" s="22" t="s">
        <v>22</v>
      </c>
      <c r="G15" s="22"/>
      <c r="H15" s="22" t="s">
        <v>23</v>
      </c>
      <c r="I15" s="22"/>
      <c r="J15" s="22" t="s">
        <v>24</v>
      </c>
      <c r="K15" s="24"/>
      <c r="L15" s="19"/>
      <c r="M15" s="21"/>
      <c r="N15" s="22"/>
      <c r="O15" s="22"/>
      <c r="P15" s="22" t="s">
        <v>22</v>
      </c>
      <c r="Q15" s="22"/>
      <c r="R15" s="22" t="s">
        <v>23</v>
      </c>
      <c r="S15" s="22"/>
      <c r="T15" s="22" t="s">
        <v>24</v>
      </c>
      <c r="U15" s="24"/>
      <c r="V15" s="2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.75">
      <c r="A16" s="1"/>
      <c r="B16" s="13"/>
      <c r="C16" s="21"/>
      <c r="D16" s="22" t="s">
        <v>11</v>
      </c>
      <c r="E16" s="22"/>
      <c r="F16" s="22">
        <f>ROUND(Tilsynstimetal_pr_uge*Arbejdsuger_i_SFO*Løntimer/Tilsynstid,0)</f>
        <v>1882</v>
      </c>
      <c r="G16" s="22"/>
      <c r="H16" s="22">
        <f>ROUND(F16/52,1)</f>
        <v>36.2</v>
      </c>
      <c r="I16" s="22"/>
      <c r="J16" s="22">
        <f>ROUND(H16/5,1)</f>
        <v>7.2</v>
      </c>
      <c r="K16" s="24"/>
      <c r="L16" s="19"/>
      <c r="M16" s="21"/>
      <c r="N16" s="22" t="s">
        <v>11</v>
      </c>
      <c r="O16" s="22"/>
      <c r="P16" s="22">
        <f>ROUND(P5*1924/1449,0)</f>
        <v>1882</v>
      </c>
      <c r="Q16" s="22"/>
      <c r="R16" s="22">
        <f>ROUND(P16/52,1)</f>
        <v>36.2</v>
      </c>
      <c r="S16" s="22"/>
      <c r="T16" s="22">
        <f>ROUND(R16/5,1)</f>
        <v>7.2</v>
      </c>
      <c r="U16" s="24"/>
      <c r="V16" s="2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.75">
      <c r="A17" s="1"/>
      <c r="B17" s="13"/>
      <c r="C17" s="21"/>
      <c r="D17" s="22" t="s">
        <v>12</v>
      </c>
      <c r="E17" s="22"/>
      <c r="F17" s="22">
        <f>ROUND((F11*F16/52/5)+(9*F16/52/5),0)</f>
        <v>282</v>
      </c>
      <c r="G17" s="22"/>
      <c r="H17" s="22">
        <f>H16</f>
        <v>36.2</v>
      </c>
      <c r="I17" s="22"/>
      <c r="J17" s="22">
        <f>J16</f>
        <v>7.2</v>
      </c>
      <c r="K17" s="24"/>
      <c r="L17" s="19"/>
      <c r="M17" s="21"/>
      <c r="N17" s="22" t="s">
        <v>12</v>
      </c>
      <c r="O17" s="22"/>
      <c r="P17" s="22">
        <f>ROUND((P11*P16/52/5)+(9*P16/52/5),0)</f>
        <v>282</v>
      </c>
      <c r="Q17" s="22"/>
      <c r="R17" s="22">
        <f>R16</f>
        <v>36.2</v>
      </c>
      <c r="S17" s="22"/>
      <c r="T17" s="22">
        <f>T16</f>
        <v>7.2</v>
      </c>
      <c r="U17" s="24"/>
      <c r="V17" s="2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.75">
      <c r="A18" s="1"/>
      <c r="B18" s="13"/>
      <c r="C18" s="21"/>
      <c r="D18" s="22" t="s">
        <v>13</v>
      </c>
      <c r="E18" s="22"/>
      <c r="F18" s="22">
        <f>ROUND(223*F16/1924,0)</f>
        <v>218</v>
      </c>
      <c r="G18" s="22"/>
      <c r="H18" s="22">
        <f>ROUND(F18/45,1)</f>
        <v>4.8</v>
      </c>
      <c r="I18" s="22"/>
      <c r="J18" s="22">
        <f>ROUND(H18/5,1)</f>
        <v>1</v>
      </c>
      <c r="K18" s="24"/>
      <c r="L18" s="19"/>
      <c r="M18" s="21"/>
      <c r="N18" s="22" t="s">
        <v>13</v>
      </c>
      <c r="O18" s="22"/>
      <c r="P18" s="22">
        <f>ROUND(223*P16/1924,0)</f>
        <v>218</v>
      </c>
      <c r="Q18" s="22"/>
      <c r="R18" s="22">
        <f>ROUND(P18/45,1)</f>
        <v>4.8</v>
      </c>
      <c r="S18" s="22"/>
      <c r="T18" s="22">
        <f>ROUND(R18/5,1)</f>
        <v>1</v>
      </c>
      <c r="U18" s="24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.75">
      <c r="A19" s="1"/>
      <c r="B19" s="13"/>
      <c r="C19" s="21"/>
      <c r="D19" s="22" t="s">
        <v>14</v>
      </c>
      <c r="E19" s="22"/>
      <c r="F19" s="22">
        <f>F16-F17-F18</f>
        <v>1382</v>
      </c>
      <c r="G19" s="22"/>
      <c r="H19" s="22">
        <f>ROUND(F19/45,1)</f>
        <v>30.7</v>
      </c>
      <c r="I19" s="22"/>
      <c r="J19" s="22">
        <f>ROUND(H19/5,1)</f>
        <v>6.1</v>
      </c>
      <c r="K19" s="24"/>
      <c r="L19" s="19"/>
      <c r="M19" s="21"/>
      <c r="N19" s="22" t="s">
        <v>14</v>
      </c>
      <c r="O19" s="22"/>
      <c r="P19" s="22">
        <f>P16-P17-P18</f>
        <v>1382</v>
      </c>
      <c r="Q19" s="22"/>
      <c r="R19" s="22">
        <f>ROUND(P19/45,1)</f>
        <v>30.7</v>
      </c>
      <c r="S19" s="22"/>
      <c r="T19" s="22">
        <f>ROUND(R19/5,1)</f>
        <v>6.1</v>
      </c>
      <c r="U19" s="24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.75">
      <c r="A20" s="1"/>
      <c r="B20" s="13"/>
      <c r="C20" s="21"/>
      <c r="D20" s="22" t="s">
        <v>25</v>
      </c>
      <c r="E20" s="22"/>
      <c r="F20" s="22">
        <f>F7*40*1.3</f>
        <v>0</v>
      </c>
      <c r="G20" s="22"/>
      <c r="H20" s="22">
        <f>ROUND(F20/45,1)</f>
        <v>0</v>
      </c>
      <c r="I20" s="22"/>
      <c r="J20" s="22">
        <f>ROUND(H20/5,1)</f>
        <v>0</v>
      </c>
      <c r="K20" s="24"/>
      <c r="L20" s="19"/>
      <c r="M20" s="21"/>
      <c r="N20" s="22" t="s">
        <v>25</v>
      </c>
      <c r="O20" s="22"/>
      <c r="P20" s="22">
        <f>P7*40*1.3</f>
        <v>0</v>
      </c>
      <c r="Q20" s="22"/>
      <c r="R20" s="22">
        <f>ROUND(P20/45,1)</f>
        <v>0</v>
      </c>
      <c r="S20" s="22"/>
      <c r="T20" s="22">
        <f>ROUND(R20/5,1)</f>
        <v>0</v>
      </c>
      <c r="U20" s="24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.75">
      <c r="A21" s="1"/>
      <c r="B21" s="13"/>
      <c r="C21" s="21"/>
      <c r="D21" s="22" t="s">
        <v>29</v>
      </c>
      <c r="E21" s="22"/>
      <c r="F21" s="22">
        <f>F9*40*1.5</f>
        <v>0</v>
      </c>
      <c r="G21" s="22"/>
      <c r="H21" s="22">
        <f>ROUND(F21/45,1)</f>
        <v>0</v>
      </c>
      <c r="I21" s="22"/>
      <c r="J21" s="22">
        <f>ROUND(H21/5,1)</f>
        <v>0</v>
      </c>
      <c r="K21" s="24"/>
      <c r="L21" s="19"/>
      <c r="M21" s="21"/>
      <c r="N21" s="22" t="s">
        <v>29</v>
      </c>
      <c r="O21" s="22"/>
      <c r="P21" s="22">
        <f>P9*40*1.3</f>
        <v>0</v>
      </c>
      <c r="Q21" s="22"/>
      <c r="R21" s="22"/>
      <c r="S21" s="22"/>
      <c r="T21" s="22"/>
      <c r="U21" s="24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.75">
      <c r="A22" s="1"/>
      <c r="B22" s="13"/>
      <c r="C22" s="21"/>
      <c r="D22" s="22" t="s">
        <v>26</v>
      </c>
      <c r="E22" s="22"/>
      <c r="F22" s="22">
        <f>F19-F20-F21</f>
        <v>1382</v>
      </c>
      <c r="G22" s="22"/>
      <c r="H22" s="22">
        <f>ROUND(F22/45,1)</f>
        <v>30.7</v>
      </c>
      <c r="I22" s="22"/>
      <c r="J22" s="22">
        <f>ROUND(H22/5,1)</f>
        <v>6.1</v>
      </c>
      <c r="K22" s="24"/>
      <c r="L22" s="19"/>
      <c r="M22" s="21"/>
      <c r="N22" s="22" t="s">
        <v>26</v>
      </c>
      <c r="O22" s="22"/>
      <c r="P22" s="22">
        <f>P19-P20</f>
        <v>1382</v>
      </c>
      <c r="Q22" s="22"/>
      <c r="R22" s="22">
        <f>ROUND(P22/45,1)</f>
        <v>30.7</v>
      </c>
      <c r="S22" s="22"/>
      <c r="T22" s="22">
        <f>ROUND(R22/5,1)</f>
        <v>6.1</v>
      </c>
      <c r="U22" s="24"/>
      <c r="V22" s="2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3.75" customHeight="1" thickBot="1">
      <c r="A23" s="1"/>
      <c r="B23" s="13"/>
      <c r="C23" s="26"/>
      <c r="D23" s="27"/>
      <c r="E23" s="28"/>
      <c r="F23" s="28"/>
      <c r="G23" s="28"/>
      <c r="H23" s="28"/>
      <c r="I23" s="28"/>
      <c r="J23" s="28"/>
      <c r="K23" s="29"/>
      <c r="L23" s="19"/>
      <c r="M23" s="26"/>
      <c r="N23" s="28"/>
      <c r="O23" s="28"/>
      <c r="P23" s="28"/>
      <c r="Q23" s="28"/>
      <c r="R23" s="28"/>
      <c r="S23" s="28"/>
      <c r="T23" s="28"/>
      <c r="U23" s="29"/>
      <c r="V23" s="20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99.75" customHeight="1">
      <c r="A24" s="1"/>
      <c r="B24" s="13"/>
      <c r="C24" s="19"/>
      <c r="D24" s="22"/>
      <c r="E24" s="14"/>
      <c r="F24" s="14"/>
      <c r="G24" s="14"/>
      <c r="H24" s="14"/>
      <c r="I24" s="14"/>
      <c r="J24" s="14"/>
      <c r="K24" s="14"/>
      <c r="L24" s="19"/>
      <c r="M24" s="19"/>
      <c r="N24" s="14"/>
      <c r="O24" s="14"/>
      <c r="P24" s="14"/>
      <c r="Q24" s="14"/>
      <c r="R24" s="14"/>
      <c r="S24" s="14"/>
      <c r="T24" s="14"/>
      <c r="U24" s="14"/>
      <c r="V24" s="2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99.75" customHeight="1" thickBot="1">
      <c r="A25" s="1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</sheetData>
  <sheetProtection password="C9DF" sheet="1" objects="1" scenarios="1"/>
  <mergeCells count="1">
    <mergeCell ref="C2:U2"/>
  </mergeCells>
  <printOptions/>
  <pageMargins left="0.5" right="0.5" top="0.5" bottom="0.5" header="0" footer="0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4" sqref="C4"/>
    </sheetView>
  </sheetViews>
  <sheetFormatPr defaultColWidth="12.00390625" defaultRowHeight="12"/>
  <cols>
    <col min="1" max="1" width="12.00390625" style="3" customWidth="1"/>
    <col min="2" max="2" width="32.421875" style="3" bestFit="1" customWidth="1"/>
    <col min="3" max="16384" width="12.00390625" style="3" customWidth="1"/>
  </cols>
  <sheetData>
    <row r="3" spans="2:3" ht="15">
      <c r="B3" s="3" t="s">
        <v>30</v>
      </c>
      <c r="C3" s="3">
        <v>1924</v>
      </c>
    </row>
    <row r="4" spans="2:3" ht="15">
      <c r="B4" s="3" t="s">
        <v>31</v>
      </c>
      <c r="C4" s="3">
        <v>218</v>
      </c>
    </row>
    <row r="5" spans="2:3" ht="15">
      <c r="B5" s="3" t="s">
        <v>32</v>
      </c>
      <c r="C5" s="3">
        <v>289</v>
      </c>
    </row>
    <row r="6" spans="2:3" ht="15">
      <c r="B6" s="3" t="s">
        <v>33</v>
      </c>
      <c r="C6" s="3">
        <v>1417</v>
      </c>
    </row>
    <row r="8" spans="2:3" ht="15">
      <c r="B8" s="3" t="s">
        <v>34</v>
      </c>
      <c r="C8" s="3">
        <v>44</v>
      </c>
    </row>
    <row r="9" spans="2:3" ht="15">
      <c r="B9" s="3" t="s">
        <v>35</v>
      </c>
      <c r="C9" s="3">
        <v>52</v>
      </c>
    </row>
    <row r="10" spans="2:3" ht="15">
      <c r="B10" s="3" t="s">
        <v>36</v>
      </c>
      <c r="C10" s="3">
        <v>6</v>
      </c>
    </row>
    <row r="11" spans="2:3" ht="15">
      <c r="B11" s="3" t="s">
        <v>37</v>
      </c>
      <c r="C11" s="3">
        <v>9</v>
      </c>
    </row>
    <row r="12" spans="2:3" ht="15">
      <c r="B12" s="3" t="s">
        <v>38</v>
      </c>
      <c r="C12" s="3">
        <v>40</v>
      </c>
    </row>
    <row r="14" spans="2:3" ht="15">
      <c r="B14" s="3" t="s">
        <v>39</v>
      </c>
      <c r="C14" s="3">
        <v>1.3</v>
      </c>
    </row>
    <row r="15" spans="2:3" ht="15">
      <c r="B15" s="3" t="s">
        <v>40</v>
      </c>
      <c r="C15" s="3">
        <v>1.5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="87" zoomScaleNormal="87" zoomScalePageLayoutView="0" workbookViewId="0" topLeftCell="A1">
      <selection activeCell="B3" sqref="B3"/>
    </sheetView>
  </sheetViews>
  <sheetFormatPr defaultColWidth="13.421875" defaultRowHeight="12"/>
  <cols>
    <col min="1" max="1" width="36.7109375" style="4" customWidth="1"/>
    <col min="2" max="9" width="13.421875" style="4" customWidth="1"/>
    <col min="10" max="11" width="16.140625" style="4" customWidth="1"/>
    <col min="12" max="15" width="13.421875" style="4" customWidth="1"/>
    <col min="16" max="16" width="14.7109375" style="4" customWidth="1"/>
    <col min="17" max="17" width="17.421875" style="4" customWidth="1"/>
    <col min="18" max="16384" width="13.421875" style="4" customWidth="1"/>
  </cols>
  <sheetData>
    <row r="1" ht="15">
      <c r="A1" s="4" t="s">
        <v>41</v>
      </c>
    </row>
    <row r="2" spans="6:25" ht="15">
      <c r="F2" s="5" t="s">
        <v>42</v>
      </c>
      <c r="G2" s="6"/>
      <c r="H2" s="6"/>
      <c r="I2" s="6"/>
      <c r="J2" s="6"/>
      <c r="K2" s="6">
        <f>'Fork. periode'!H7</f>
        <v>0</v>
      </c>
      <c r="L2" s="6"/>
      <c r="M2" s="6"/>
      <c r="N2" s="6"/>
      <c r="O2" s="6"/>
      <c r="P2" s="6"/>
      <c r="Q2" s="6">
        <f>'Fork. periode'!M7</f>
        <v>0</v>
      </c>
      <c r="R2" s="6"/>
      <c r="S2" s="6"/>
      <c r="T2" s="6"/>
      <c r="U2" s="6"/>
      <c r="V2" s="7"/>
      <c r="W2" s="5">
        <v>0</v>
      </c>
      <c r="X2" s="6">
        <v>6</v>
      </c>
      <c r="Y2" s="7"/>
    </row>
    <row r="3" spans="1:25" ht="15">
      <c r="A3" s="4" t="s">
        <v>43</v>
      </c>
      <c r="B3" s="8">
        <f>'Fork. periode'!H12</f>
        <v>0</v>
      </c>
      <c r="C3" s="7"/>
      <c r="F3" s="7"/>
      <c r="V3" s="7"/>
      <c r="W3" s="7">
        <v>1</v>
      </c>
      <c r="X3" s="4">
        <v>5</v>
      </c>
      <c r="Y3" s="7"/>
    </row>
    <row r="4" spans="1:25" ht="15">
      <c r="A4" s="4" t="s">
        <v>44</v>
      </c>
      <c r="B4" s="8">
        <f>'Fork. periode'!H14</f>
        <v>0</v>
      </c>
      <c r="C4" s="7"/>
      <c r="F4" s="7"/>
      <c r="G4" s="4" t="s">
        <v>45</v>
      </c>
      <c r="K4" s="4">
        <f>IF(MOD(K2+1,19)=0,19,MOD(K2+1,19))</f>
        <v>1</v>
      </c>
      <c r="Q4" s="4">
        <f>IF(MOD(Q2+1,19)=0,19,MOD(Q2+1,19))</f>
        <v>1</v>
      </c>
      <c r="V4" s="7"/>
      <c r="W4" s="7">
        <v>2</v>
      </c>
      <c r="X4" s="4">
        <v>4</v>
      </c>
      <c r="Y4" s="7"/>
    </row>
    <row r="5" spans="2:25" ht="15">
      <c r="B5" s="6"/>
      <c r="F5" s="7"/>
      <c r="H5" s="4" t="s">
        <v>46</v>
      </c>
      <c r="K5" s="4">
        <f>MOD((K4-1)*11,30)</f>
        <v>0</v>
      </c>
      <c r="Q5" s="4">
        <f>MOD((Q4-1)*11,30)</f>
        <v>0</v>
      </c>
      <c r="V5" s="7"/>
      <c r="W5" s="7">
        <v>3</v>
      </c>
      <c r="X5" s="4">
        <v>3</v>
      </c>
      <c r="Y5" s="7"/>
    </row>
    <row r="6" spans="1:25" ht="15">
      <c r="A6" s="4" t="s">
        <v>47</v>
      </c>
      <c r="B6" s="4">
        <f>DAYS360(B3,B4)</f>
        <v>0</v>
      </c>
      <c r="F6" s="7"/>
      <c r="H6" s="4" t="s">
        <v>48</v>
      </c>
      <c r="K6" s="4">
        <v>-1</v>
      </c>
      <c r="Q6" s="4">
        <v>-1</v>
      </c>
      <c r="V6" s="7"/>
      <c r="W6" s="7">
        <v>4</v>
      </c>
      <c r="X6" s="4">
        <v>2</v>
      </c>
      <c r="Y6" s="7"/>
    </row>
    <row r="7" spans="1:25" ht="15">
      <c r="A7" s="4" t="s">
        <v>49</v>
      </c>
      <c r="B7" s="9">
        <f>_XLL.ANTAL.ARBEJDSDAGE(B3,B4)</f>
        <v>0</v>
      </c>
      <c r="F7" s="7"/>
      <c r="H7" s="4" t="s">
        <v>50</v>
      </c>
      <c r="K7" s="4">
        <f>IF(K4=6,1,0)</f>
        <v>0</v>
      </c>
      <c r="Q7" s="4">
        <f>IF(Q4=6,1,0)</f>
        <v>0</v>
      </c>
      <c r="V7" s="7"/>
      <c r="W7" s="7">
        <v>5</v>
      </c>
      <c r="X7" s="4">
        <v>1</v>
      </c>
      <c r="Y7" s="7"/>
    </row>
    <row r="8" spans="1:25" ht="15">
      <c r="A8" s="4" t="s">
        <v>51</v>
      </c>
      <c r="B8" s="4">
        <f>IF(((YEAR(B3)-1900)=(YEAR(B4)-1900)),O33,O33+U33)</f>
        <v>0</v>
      </c>
      <c r="F8" s="7"/>
      <c r="K8" s="4">
        <f>IF(K4=17,1,0)</f>
        <v>0</v>
      </c>
      <c r="Q8" s="4">
        <f>IF(Q4=17,1,0)</f>
        <v>0</v>
      </c>
      <c r="V8" s="7"/>
      <c r="W8" s="7">
        <v>6</v>
      </c>
      <c r="X8" s="4">
        <v>7</v>
      </c>
      <c r="Y8" s="7"/>
    </row>
    <row r="9" spans="1:24" ht="15">
      <c r="A9" s="4" t="s">
        <v>52</v>
      </c>
      <c r="B9" s="5">
        <f>'Fork. periode'!H18</f>
        <v>0</v>
      </c>
      <c r="C9" s="7"/>
      <c r="F9" s="7"/>
      <c r="G9" s="4" t="s">
        <v>53</v>
      </c>
      <c r="K9" s="4">
        <f>SUM(K5:K8)</f>
        <v>-1</v>
      </c>
      <c r="Q9" s="4">
        <f>SUM(Q5:Q8)</f>
        <v>-1</v>
      </c>
      <c r="V9" s="7"/>
      <c r="W9" s="6"/>
      <c r="X9" s="6"/>
    </row>
    <row r="10" spans="1:22" ht="15">
      <c r="A10" s="4" t="s">
        <v>54</v>
      </c>
      <c r="B10" s="6">
        <v>0</v>
      </c>
      <c r="F10" s="7"/>
      <c r="G10" s="4" t="s">
        <v>55</v>
      </c>
      <c r="K10" s="4">
        <f>MOD(K9+80,30)</f>
        <v>19</v>
      </c>
      <c r="Q10" s="4">
        <f>MOD(Q9+80,30)</f>
        <v>19</v>
      </c>
      <c r="V10" s="7"/>
    </row>
    <row r="11" spans="1:22" ht="15">
      <c r="A11" s="4" t="s">
        <v>56</v>
      </c>
      <c r="B11" s="4">
        <f>B7-B8-B9-B10</f>
        <v>0</v>
      </c>
      <c r="F11" s="7"/>
      <c r="V11" s="7"/>
    </row>
    <row r="12" spans="6:22" ht="15">
      <c r="F12" s="7"/>
      <c r="V12" s="7"/>
    </row>
    <row r="13" spans="6:22" ht="15">
      <c r="F13" s="7"/>
      <c r="G13" s="4" t="s">
        <v>57</v>
      </c>
      <c r="K13" s="4">
        <f>IF(K10&gt;13,43-K10,13-K10)</f>
        <v>24</v>
      </c>
      <c r="Q13" s="4">
        <f>IF(Q10&gt;13,43-Q10,13-Q10)</f>
        <v>24</v>
      </c>
      <c r="V13" s="7"/>
    </row>
    <row r="14" spans="6:22" ht="15">
      <c r="F14" s="7"/>
      <c r="K14" s="4">
        <f>IF(K10&lt;=13,13-K10,0)</f>
        <v>0</v>
      </c>
      <c r="Q14" s="4">
        <f>IF(Q10&lt;=13,13-Q10,0)</f>
        <v>0</v>
      </c>
      <c r="V14" s="7"/>
    </row>
    <row r="15" spans="6:22" ht="15">
      <c r="F15" s="7"/>
      <c r="G15" s="4" t="s">
        <v>58</v>
      </c>
      <c r="J15" s="10">
        <f>DATE(K2,3,21)</f>
        <v>81</v>
      </c>
      <c r="K15" s="10">
        <f>J15+K13</f>
        <v>105</v>
      </c>
      <c r="L15" s="10"/>
      <c r="M15" s="10"/>
      <c r="N15" s="10"/>
      <c r="O15" s="10"/>
      <c r="P15" s="10">
        <f>DATE(Q2,3,21)</f>
        <v>81</v>
      </c>
      <c r="Q15" s="10">
        <f>P15+Q13</f>
        <v>105</v>
      </c>
      <c r="R15" s="10"/>
      <c r="S15" s="10"/>
      <c r="T15" s="10"/>
      <c r="U15" s="10"/>
      <c r="V15" s="7"/>
    </row>
    <row r="16" spans="6:22" ht="15">
      <c r="F16" s="7"/>
      <c r="G16" s="4" t="s">
        <v>59</v>
      </c>
      <c r="K16" s="4">
        <f>WEEKDAY(K15,3)</f>
        <v>5</v>
      </c>
      <c r="Q16" s="4">
        <f>WEEKDAY(Q15,3)</f>
        <v>5</v>
      </c>
      <c r="V16" s="7"/>
    </row>
    <row r="17" spans="6:22" ht="15">
      <c r="F17" s="7"/>
      <c r="K17" s="4">
        <f>VLOOKUP(K16,$W$2:$X$8,2)</f>
        <v>1</v>
      </c>
      <c r="Q17" s="4">
        <f>VLOOKUP(Q16,$W$2:$X$8,2)</f>
        <v>1</v>
      </c>
      <c r="V17" s="7"/>
    </row>
    <row r="18" spans="6:22" ht="15">
      <c r="F18" s="7"/>
      <c r="V18" s="7"/>
    </row>
    <row r="19" spans="6:22" ht="15">
      <c r="F19" s="7"/>
      <c r="G19" s="4" t="s">
        <v>60</v>
      </c>
      <c r="K19" s="10">
        <f>K15+K17</f>
        <v>106</v>
      </c>
      <c r="L19" s="10"/>
      <c r="M19" s="10"/>
      <c r="N19" s="10"/>
      <c r="O19" s="10"/>
      <c r="P19" s="10"/>
      <c r="Q19" s="10">
        <f>Q15+Q17</f>
        <v>106</v>
      </c>
      <c r="R19" s="10"/>
      <c r="S19" s="10"/>
      <c r="T19" s="10"/>
      <c r="U19" s="10"/>
      <c r="V19" s="7"/>
    </row>
    <row r="20" spans="6:22" ht="15">
      <c r="F20" s="7"/>
      <c r="V20" s="7"/>
    </row>
    <row r="21" spans="6:22" ht="15">
      <c r="F21" s="7"/>
      <c r="H21" s="4" t="s">
        <v>61</v>
      </c>
      <c r="J21" s="10">
        <f>DATE(K2,1,1)</f>
        <v>1</v>
      </c>
      <c r="K21" s="10">
        <f>J21</f>
        <v>1</v>
      </c>
      <c r="L21" s="4">
        <f>IF(WEEKDAY(K21,3)&gt;4,0,1)</f>
        <v>0</v>
      </c>
      <c r="M21" s="4">
        <f>IF(K21&lt;=$B$4,1,0)</f>
        <v>0</v>
      </c>
      <c r="N21" s="4">
        <f>IF(K21&gt;=$B$3,1,0)</f>
        <v>1</v>
      </c>
      <c r="O21" s="4">
        <f>L21*M21*N21</f>
        <v>0</v>
      </c>
      <c r="P21" s="10">
        <f>DATE(Q2,1,1)</f>
        <v>1</v>
      </c>
      <c r="Q21" s="10">
        <f>P21</f>
        <v>1</v>
      </c>
      <c r="R21" s="4">
        <f>IF(WEEKDAY(Q21,3)&gt;4,0,1)</f>
        <v>0</v>
      </c>
      <c r="S21" s="4">
        <f>IF(Q21&lt;=$B$4,1,0)</f>
        <v>0</v>
      </c>
      <c r="T21" s="4">
        <f>IF(Q21&gt;=$B$3,1,0)</f>
        <v>1</v>
      </c>
      <c r="U21" s="4">
        <f>R21*S21*T21</f>
        <v>0</v>
      </c>
      <c r="V21" s="7"/>
    </row>
    <row r="22" spans="6:22" ht="15">
      <c r="F22" s="7"/>
      <c r="H22" s="4" t="s">
        <v>62</v>
      </c>
      <c r="J22" s="10">
        <f>J25-49</f>
        <v>57</v>
      </c>
      <c r="P22" s="10">
        <f>P25-49</f>
        <v>57</v>
      </c>
      <c r="V22" s="7"/>
    </row>
    <row r="23" spans="6:22" ht="15">
      <c r="F23" s="7"/>
      <c r="H23" s="4" t="s">
        <v>63</v>
      </c>
      <c r="J23" s="10">
        <f>J25-3</f>
        <v>103</v>
      </c>
      <c r="K23" s="10">
        <f>J23</f>
        <v>103</v>
      </c>
      <c r="L23" s="4">
        <f>IF(WEEKDAY(K23,3)&gt;4,0,1)</f>
        <v>1</v>
      </c>
      <c r="M23" s="4">
        <f>IF(K23&lt;=$B$4,1,0)</f>
        <v>0</v>
      </c>
      <c r="N23" s="4">
        <f>IF(K23&gt;=$B$3,1,0)</f>
        <v>1</v>
      </c>
      <c r="O23" s="4">
        <f>L23*M23*N23</f>
        <v>0</v>
      </c>
      <c r="P23" s="10">
        <f>P25-3</f>
        <v>103</v>
      </c>
      <c r="Q23" s="10">
        <f>P23</f>
        <v>103</v>
      </c>
      <c r="R23" s="4">
        <f>IF(WEEKDAY(Q23,3)&gt;4,0,1)</f>
        <v>1</v>
      </c>
      <c r="S23" s="4">
        <f>IF(Q23&lt;=$B$4,1,0)</f>
        <v>0</v>
      </c>
      <c r="T23" s="4">
        <f>IF(Q23&gt;=$B$3,1,0)</f>
        <v>1</v>
      </c>
      <c r="U23" s="4">
        <f>R23*S23*T23</f>
        <v>0</v>
      </c>
      <c r="V23" s="7"/>
    </row>
    <row r="24" spans="6:22" ht="15">
      <c r="F24" s="7"/>
      <c r="H24" s="4" t="s">
        <v>64</v>
      </c>
      <c r="J24" s="10">
        <f>J25-2</f>
        <v>104</v>
      </c>
      <c r="K24" s="10">
        <f>J24</f>
        <v>104</v>
      </c>
      <c r="L24" s="4">
        <f>IF(WEEKDAY(K24,3)&gt;4,0,1)</f>
        <v>1</v>
      </c>
      <c r="M24" s="4">
        <f>IF(K24&lt;=$B$4,1,0)</f>
        <v>0</v>
      </c>
      <c r="N24" s="4">
        <f>IF(K24&gt;=$B$3,1,0)</f>
        <v>1</v>
      </c>
      <c r="O24" s="4">
        <f>L24*M24*N24</f>
        <v>0</v>
      </c>
      <c r="P24" s="10">
        <f>P25-2</f>
        <v>104</v>
      </c>
      <c r="Q24" s="10">
        <f>P24</f>
        <v>104</v>
      </c>
      <c r="R24" s="4">
        <f>IF(WEEKDAY(Q24,3)&gt;4,0,1)</f>
        <v>1</v>
      </c>
      <c r="S24" s="4">
        <f>IF(Q24&lt;=$B$4,1,0)</f>
        <v>0</v>
      </c>
      <c r="T24" s="4">
        <f>IF(Q24&gt;=$B$3,1,0)</f>
        <v>1</v>
      </c>
      <c r="U24" s="4">
        <f>R24*S24*T24</f>
        <v>0</v>
      </c>
      <c r="V24" s="7"/>
    </row>
    <row r="25" spans="6:22" ht="15">
      <c r="F25" s="7"/>
      <c r="H25" s="4" t="s">
        <v>65</v>
      </c>
      <c r="J25" s="10">
        <f>K19</f>
        <v>106</v>
      </c>
      <c r="P25" s="10">
        <f>Q19</f>
        <v>106</v>
      </c>
      <c r="V25" s="7"/>
    </row>
    <row r="26" spans="6:22" ht="15">
      <c r="F26" s="7"/>
      <c r="H26" s="4" t="s">
        <v>66</v>
      </c>
      <c r="J26" s="10">
        <f>J25+1</f>
        <v>107</v>
      </c>
      <c r="K26" s="10">
        <f>J26</f>
        <v>107</v>
      </c>
      <c r="L26" s="4">
        <f>IF(WEEKDAY(K26,3)&gt;4,0,1)</f>
        <v>1</v>
      </c>
      <c r="M26" s="4">
        <f>IF(K26&lt;=$B$4,1,0)</f>
        <v>0</v>
      </c>
      <c r="N26" s="4">
        <f>IF(K26&gt;=$B$3,1,0)</f>
        <v>1</v>
      </c>
      <c r="O26" s="4">
        <f>L26*M26*N26</f>
        <v>0</v>
      </c>
      <c r="P26" s="10">
        <f>P25+1</f>
        <v>107</v>
      </c>
      <c r="Q26" s="10">
        <f>P26</f>
        <v>107</v>
      </c>
      <c r="R26" s="4">
        <f>IF(WEEKDAY(Q26,3)&gt;4,0,1)</f>
        <v>1</v>
      </c>
      <c r="S26" s="4">
        <f>IF(Q26&lt;=$B$4,1,0)</f>
        <v>0</v>
      </c>
      <c r="T26" s="4">
        <f>IF(Q26&gt;=$B$3,1,0)</f>
        <v>1</v>
      </c>
      <c r="U26" s="4">
        <f>R26*S26*T26</f>
        <v>0</v>
      </c>
      <c r="V26" s="7"/>
    </row>
    <row r="27" spans="6:22" ht="15">
      <c r="F27" s="7"/>
      <c r="J27" s="10"/>
      <c r="K27" s="10"/>
      <c r="P27" s="10"/>
      <c r="Q27" s="10"/>
      <c r="V27" s="7"/>
    </row>
    <row r="28" spans="6:22" ht="15">
      <c r="F28" s="7"/>
      <c r="H28" s="4" t="s">
        <v>67</v>
      </c>
      <c r="J28" s="10">
        <f>J25+39</f>
        <v>145</v>
      </c>
      <c r="K28" s="10">
        <f>J28</f>
        <v>145</v>
      </c>
      <c r="L28" s="4">
        <f>IF(WEEKDAY(K28,3)&gt;4,0,1)</f>
        <v>1</v>
      </c>
      <c r="M28" s="4">
        <f>IF(K28&lt;=$B$4,1,0)</f>
        <v>0</v>
      </c>
      <c r="N28" s="4">
        <f>IF(K28&gt;=$B$3,1,0)</f>
        <v>1</v>
      </c>
      <c r="O28" s="4">
        <f>L28*M28*N28</f>
        <v>0</v>
      </c>
      <c r="P28" s="10">
        <f>P25+39</f>
        <v>145</v>
      </c>
      <c r="Q28" s="10">
        <f>P28</f>
        <v>145</v>
      </c>
      <c r="R28" s="4">
        <f>IF(WEEKDAY(Q28,3)&gt;4,0,1)</f>
        <v>1</v>
      </c>
      <c r="S28" s="4">
        <f>IF(Q28&lt;=$B$4,1,0)</f>
        <v>0</v>
      </c>
      <c r="T28" s="4">
        <f>IF(Q28&gt;=$B$3,1,0)</f>
        <v>1</v>
      </c>
      <c r="U28" s="4">
        <f>R28*S28*T28</f>
        <v>0</v>
      </c>
      <c r="V28" s="7"/>
    </row>
    <row r="29" spans="6:22" ht="15">
      <c r="F29" s="7"/>
      <c r="H29" s="4" t="s">
        <v>68</v>
      </c>
      <c r="J29" s="10">
        <f>J25+49</f>
        <v>155</v>
      </c>
      <c r="P29" s="10">
        <f>P25+49</f>
        <v>155</v>
      </c>
      <c r="V29" s="7"/>
    </row>
    <row r="30" spans="6:22" ht="15">
      <c r="F30" s="7"/>
      <c r="H30" s="4" t="s">
        <v>69</v>
      </c>
      <c r="J30" s="10">
        <f>J29+1</f>
        <v>156</v>
      </c>
      <c r="K30" s="10">
        <f>J30</f>
        <v>156</v>
      </c>
      <c r="L30" s="4">
        <f>IF(WEEKDAY(K30,3)&gt;4,0,1)</f>
        <v>1</v>
      </c>
      <c r="M30" s="4">
        <f>IF(K30&lt;=$B$4,1,0)</f>
        <v>0</v>
      </c>
      <c r="N30" s="4">
        <f>IF(K30&gt;=$B$3,1,0)</f>
        <v>1</v>
      </c>
      <c r="O30" s="4">
        <f>L30*M30*N30</f>
        <v>0</v>
      </c>
      <c r="P30" s="10">
        <f>P29+1</f>
        <v>156</v>
      </c>
      <c r="Q30" s="10">
        <f>P30</f>
        <v>156</v>
      </c>
      <c r="R30" s="4">
        <f>IF(WEEKDAY(Q30,3)&gt;4,0,1)</f>
        <v>1</v>
      </c>
      <c r="S30" s="4">
        <f>IF(Q30&lt;=$B$4,1,0)</f>
        <v>0</v>
      </c>
      <c r="T30" s="4">
        <f>IF(Q30&gt;=$B$3,1,0)</f>
        <v>1</v>
      </c>
      <c r="U30" s="4">
        <f>R30*S30*T30</f>
        <v>0</v>
      </c>
      <c r="V30" s="7"/>
    </row>
    <row r="31" spans="6:22" ht="15">
      <c r="F31" s="7"/>
      <c r="H31" s="4" t="s">
        <v>70</v>
      </c>
      <c r="J31" s="10">
        <f>DATE(K2,12,25)</f>
        <v>360</v>
      </c>
      <c r="K31" s="10">
        <f>J31</f>
        <v>360</v>
      </c>
      <c r="L31" s="4">
        <f>IF(WEEKDAY(K31,3)&gt;4,0,1)</f>
        <v>1</v>
      </c>
      <c r="M31" s="4">
        <f>IF(K31&lt;=$B$4,1,0)</f>
        <v>0</v>
      </c>
      <c r="N31" s="4">
        <f>IF(K31&gt;=$B$3,1,0)</f>
        <v>1</v>
      </c>
      <c r="O31" s="4">
        <f>L31*M31*N31</f>
        <v>0</v>
      </c>
      <c r="P31" s="10">
        <f>DATE(Q2,12,25)</f>
        <v>360</v>
      </c>
      <c r="Q31" s="10">
        <f>P31</f>
        <v>360</v>
      </c>
      <c r="R31" s="4">
        <f>IF(WEEKDAY(Q31,3)&gt;4,0,1)</f>
        <v>1</v>
      </c>
      <c r="S31" s="4">
        <f>IF(Q31&lt;=$B$4,1,0)</f>
        <v>0</v>
      </c>
      <c r="T31" s="4">
        <f>IF(Q31&gt;=$B$3,1,0)</f>
        <v>1</v>
      </c>
      <c r="U31" s="4">
        <f>R31*S31*T31</f>
        <v>0</v>
      </c>
      <c r="V31" s="7"/>
    </row>
    <row r="32" spans="6:22" ht="15">
      <c r="F32" s="7"/>
      <c r="H32" s="4" t="s">
        <v>71</v>
      </c>
      <c r="J32" s="10">
        <f>J31+1</f>
        <v>361</v>
      </c>
      <c r="K32" s="10">
        <f>J32</f>
        <v>361</v>
      </c>
      <c r="L32" s="4">
        <f>IF(WEEKDAY(K32,3)&gt;4,0,1)</f>
        <v>1</v>
      </c>
      <c r="M32" s="4">
        <f>IF(K32&lt;=$B$4,1,0)</f>
        <v>0</v>
      </c>
      <c r="N32" s="4">
        <f>IF(K32&gt;=$B$3,1,0)</f>
        <v>1</v>
      </c>
      <c r="O32" s="4">
        <f>L32*M32*N32</f>
        <v>0</v>
      </c>
      <c r="P32" s="10">
        <f>P31+1</f>
        <v>361</v>
      </c>
      <c r="Q32" s="10">
        <f>P32</f>
        <v>361</v>
      </c>
      <c r="R32" s="4">
        <f>IF(WEEKDAY(Q32,3)&gt;4,0,1)</f>
        <v>1</v>
      </c>
      <c r="S32" s="4">
        <f>IF(Q32&lt;=$B$4,1,0)</f>
        <v>0</v>
      </c>
      <c r="T32" s="4">
        <f>IF(Q32&gt;=$B$3,1,0)</f>
        <v>1</v>
      </c>
      <c r="U32" s="4">
        <f>R32*S32*T32</f>
        <v>0</v>
      </c>
      <c r="V32" s="7"/>
    </row>
    <row r="33" spans="6:22" ht="15">
      <c r="F33" s="7"/>
      <c r="H33" s="4" t="s">
        <v>72</v>
      </c>
      <c r="O33" s="4">
        <f>SUM(O21:O32)</f>
        <v>0</v>
      </c>
      <c r="U33" s="4">
        <f>SUM(U21:U32)</f>
        <v>0</v>
      </c>
      <c r="V33" s="7"/>
    </row>
    <row r="34" spans="6:21" ht="15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9"/>
  <sheetViews>
    <sheetView showRowColHeaders="0" zoomScale="87" zoomScaleNormal="87" zoomScalePageLayoutView="0" workbookViewId="0" topLeftCell="A1">
      <selection activeCell="F27" sqref="F27:U27"/>
    </sheetView>
  </sheetViews>
  <sheetFormatPr defaultColWidth="13.421875" defaultRowHeight="12"/>
  <cols>
    <col min="1" max="1" width="36.7109375" style="4" customWidth="1"/>
    <col min="2" max="9" width="13.421875" style="4" customWidth="1"/>
    <col min="10" max="11" width="16.140625" style="4" customWidth="1"/>
    <col min="12" max="15" width="13.421875" style="4" customWidth="1"/>
    <col min="16" max="17" width="16.140625" style="4" customWidth="1"/>
    <col min="18" max="16384" width="13.421875" style="4" customWidth="1"/>
  </cols>
  <sheetData>
    <row r="1" ht="15">
      <c r="A1" s="4" t="s">
        <v>41</v>
      </c>
    </row>
    <row r="2" spans="6:25" ht="15">
      <c r="F2" s="5" t="s">
        <v>42</v>
      </c>
      <c r="G2" s="6"/>
      <c r="H2" s="6"/>
      <c r="I2" s="6"/>
      <c r="J2" s="6"/>
      <c r="K2" s="6">
        <f>'Fork. periode'!H7</f>
        <v>0</v>
      </c>
      <c r="L2" s="6"/>
      <c r="M2" s="6"/>
      <c r="N2" s="6"/>
      <c r="O2" s="6"/>
      <c r="P2" s="6"/>
      <c r="Q2" s="6">
        <f>'Fork. periode'!M7</f>
        <v>0</v>
      </c>
      <c r="R2" s="6"/>
      <c r="S2" s="6"/>
      <c r="T2" s="6"/>
      <c r="U2" s="6"/>
      <c r="V2" s="7"/>
      <c r="W2" s="5">
        <v>0</v>
      </c>
      <c r="X2" s="6">
        <v>6</v>
      </c>
      <c r="Y2" s="7"/>
    </row>
    <row r="3" spans="1:25" ht="15">
      <c r="A3" s="4" t="s">
        <v>43</v>
      </c>
      <c r="B3" s="8">
        <f>'Fork. periode'!O12</f>
        <v>0</v>
      </c>
      <c r="C3" s="7"/>
      <c r="F3" s="7"/>
      <c r="V3" s="7"/>
      <c r="W3" s="7">
        <v>1</v>
      </c>
      <c r="X3" s="4">
        <v>5</v>
      </c>
      <c r="Y3" s="7"/>
    </row>
    <row r="4" spans="1:25" ht="15">
      <c r="A4" s="4" t="s">
        <v>44</v>
      </c>
      <c r="B4" s="8">
        <f>'Fork. periode'!O14</f>
        <v>0</v>
      </c>
      <c r="C4" s="7"/>
      <c r="F4" s="7"/>
      <c r="G4" s="4" t="s">
        <v>45</v>
      </c>
      <c r="K4" s="4">
        <f>IF(MOD(K2+1,19)=0,19,MOD(K2+1,19))</f>
        <v>1</v>
      </c>
      <c r="Q4" s="4">
        <f>IF(MOD(Q2+1,19)=0,19,MOD(Q2+1,19))</f>
        <v>1</v>
      </c>
      <c r="V4" s="7"/>
      <c r="W4" s="7">
        <v>2</v>
      </c>
      <c r="X4" s="4">
        <v>4</v>
      </c>
      <c r="Y4" s="7"/>
    </row>
    <row r="5" spans="2:25" ht="15">
      <c r="B5" s="6"/>
      <c r="F5" s="7"/>
      <c r="H5" s="4" t="s">
        <v>46</v>
      </c>
      <c r="K5" s="4">
        <f>MOD((K4-1)*11,30)</f>
        <v>0</v>
      </c>
      <c r="Q5" s="4">
        <f>MOD((Q4-1)*11,30)</f>
        <v>0</v>
      </c>
      <c r="V5" s="7"/>
      <c r="W5" s="7">
        <v>3</v>
      </c>
      <c r="X5" s="4">
        <v>3</v>
      </c>
      <c r="Y5" s="7"/>
    </row>
    <row r="6" spans="1:25" ht="15">
      <c r="A6" s="4" t="s">
        <v>47</v>
      </c>
      <c r="B6" s="4">
        <f>DAYS360(B3,B4)</f>
        <v>0</v>
      </c>
      <c r="F6" s="7"/>
      <c r="H6" s="4" t="s">
        <v>48</v>
      </c>
      <c r="K6" s="4">
        <v>-1</v>
      </c>
      <c r="Q6" s="4">
        <v>-1</v>
      </c>
      <c r="V6" s="7"/>
      <c r="W6" s="7">
        <v>4</v>
      </c>
      <c r="X6" s="4">
        <v>2</v>
      </c>
      <c r="Y6" s="7"/>
    </row>
    <row r="7" spans="1:25" ht="15">
      <c r="A7" s="4" t="s">
        <v>49</v>
      </c>
      <c r="B7" s="9">
        <f>_XLL.ANTAL.ARBEJDSDAGE(B3,B4)</f>
        <v>0</v>
      </c>
      <c r="F7" s="7"/>
      <c r="H7" s="4" t="s">
        <v>50</v>
      </c>
      <c r="K7" s="4">
        <f>IF(K4=6,1,0)</f>
        <v>0</v>
      </c>
      <c r="Q7" s="4">
        <f>IF(Q4=6,1,0)</f>
        <v>0</v>
      </c>
      <c r="V7" s="7"/>
      <c r="W7" s="7">
        <v>5</v>
      </c>
      <c r="X7" s="4">
        <v>1</v>
      </c>
      <c r="Y7" s="7"/>
    </row>
    <row r="8" spans="1:25" ht="15">
      <c r="A8" s="4" t="s">
        <v>51</v>
      </c>
      <c r="B8" s="4">
        <f>IF(((YEAR(B3)-1900)=(YEAR(B4)-1900)),O33,O33+U33)</f>
        <v>0</v>
      </c>
      <c r="F8" s="7"/>
      <c r="K8" s="4">
        <f>IF(K4=17,1,0)</f>
        <v>0</v>
      </c>
      <c r="Q8" s="4">
        <f>IF(Q4=17,1,0)</f>
        <v>0</v>
      </c>
      <c r="V8" s="7"/>
      <c r="W8" s="7">
        <v>6</v>
      </c>
      <c r="X8" s="4">
        <v>7</v>
      </c>
      <c r="Y8" s="7"/>
    </row>
    <row r="9" spans="1:24" ht="15">
      <c r="A9" s="4" t="s">
        <v>52</v>
      </c>
      <c r="B9" s="5">
        <f>'Fork. periode'!O18</f>
        <v>0</v>
      </c>
      <c r="C9" s="7"/>
      <c r="F9" s="7"/>
      <c r="G9" s="4" t="s">
        <v>53</v>
      </c>
      <c r="K9" s="4">
        <f>SUM(K5:K8)</f>
        <v>-1</v>
      </c>
      <c r="Q9" s="4">
        <f>SUM(Q5:Q8)</f>
        <v>-1</v>
      </c>
      <c r="V9" s="7"/>
      <c r="W9" s="6"/>
      <c r="X9" s="6"/>
    </row>
    <row r="10" spans="1:22" ht="15">
      <c r="A10" s="4" t="s">
        <v>54</v>
      </c>
      <c r="B10" s="6">
        <v>0</v>
      </c>
      <c r="F10" s="7"/>
      <c r="G10" s="4" t="s">
        <v>55</v>
      </c>
      <c r="K10" s="4">
        <f>MOD(K9+80,30)</f>
        <v>19</v>
      </c>
      <c r="Q10" s="4">
        <f>MOD(Q9+80,30)</f>
        <v>19</v>
      </c>
      <c r="V10" s="7"/>
    </row>
    <row r="11" spans="1:22" ht="15">
      <c r="A11" s="4" t="s">
        <v>73</v>
      </c>
      <c r="B11" s="4">
        <f>'Fork. periode'!O16</f>
        <v>0</v>
      </c>
      <c r="F11" s="7"/>
      <c r="V11" s="7"/>
    </row>
    <row r="12" spans="1:22" ht="15">
      <c r="A12" s="4" t="s">
        <v>56</v>
      </c>
      <c r="B12" s="4">
        <f>B7-B8-B9-B10-B11</f>
        <v>0</v>
      </c>
      <c r="F12" s="7"/>
      <c r="V12" s="7"/>
    </row>
    <row r="13" spans="6:22" ht="15">
      <c r="F13" s="7"/>
      <c r="G13" s="4" t="s">
        <v>57</v>
      </c>
      <c r="K13" s="4">
        <f>IF(K10&gt;13,43-K10,13-K10)</f>
        <v>24</v>
      </c>
      <c r="Q13" s="4">
        <f>IF(Q10&gt;13,43-Q10,13-Q10)</f>
        <v>24</v>
      </c>
      <c r="V13" s="7"/>
    </row>
    <row r="14" spans="6:22" ht="15">
      <c r="F14" s="7"/>
      <c r="K14" s="4">
        <f>IF(K10&lt;=13,13-K10,0)</f>
        <v>0</v>
      </c>
      <c r="Q14" s="4">
        <f>IF(Q10&lt;=13,13-Q10,0)</f>
        <v>0</v>
      </c>
      <c r="V14" s="7"/>
    </row>
    <row r="15" spans="6:22" ht="15">
      <c r="F15" s="7"/>
      <c r="G15" s="4" t="s">
        <v>58</v>
      </c>
      <c r="J15" s="10">
        <f>DATE(K2,3,21)</f>
        <v>81</v>
      </c>
      <c r="K15" s="10">
        <f>J15+K13</f>
        <v>105</v>
      </c>
      <c r="L15" s="10"/>
      <c r="M15" s="10"/>
      <c r="N15" s="10"/>
      <c r="O15" s="10"/>
      <c r="P15" s="10">
        <f>DATE(Q2,3,21)</f>
        <v>81</v>
      </c>
      <c r="Q15" s="10">
        <f>P15+Q13</f>
        <v>105</v>
      </c>
      <c r="R15" s="10"/>
      <c r="S15" s="10"/>
      <c r="T15" s="10"/>
      <c r="U15" s="10"/>
      <c r="V15" s="7"/>
    </row>
    <row r="16" spans="6:22" ht="15">
      <c r="F16" s="7"/>
      <c r="G16" s="4" t="s">
        <v>59</v>
      </c>
      <c r="K16" s="4">
        <f>WEEKDAY(K15,3)</f>
        <v>5</v>
      </c>
      <c r="Q16" s="4">
        <f>WEEKDAY(Q15,3)</f>
        <v>5</v>
      </c>
      <c r="V16" s="7"/>
    </row>
    <row r="17" spans="6:22" ht="15">
      <c r="F17" s="7"/>
      <c r="K17" s="4">
        <f>VLOOKUP(K16,$W$2:$X$8,2)</f>
        <v>1</v>
      </c>
      <c r="Q17" s="4">
        <f>VLOOKUP(Q16,$W$2:$X$8,2)</f>
        <v>1</v>
      </c>
      <c r="V17" s="7"/>
    </row>
    <row r="18" spans="6:22" ht="15">
      <c r="F18" s="7"/>
      <c r="V18" s="7"/>
    </row>
    <row r="19" spans="6:22" ht="15">
      <c r="F19" s="7"/>
      <c r="G19" s="4" t="s">
        <v>60</v>
      </c>
      <c r="K19" s="10">
        <f>K15+K17</f>
        <v>106</v>
      </c>
      <c r="L19" s="10"/>
      <c r="M19" s="10"/>
      <c r="N19" s="10"/>
      <c r="O19" s="10"/>
      <c r="P19" s="10"/>
      <c r="Q19" s="10">
        <f>Q15+Q17</f>
        <v>106</v>
      </c>
      <c r="R19" s="10"/>
      <c r="S19" s="10"/>
      <c r="T19" s="10"/>
      <c r="U19" s="10"/>
      <c r="V19" s="7"/>
    </row>
    <row r="20" spans="6:22" ht="15">
      <c r="F20" s="7"/>
      <c r="V20" s="7"/>
    </row>
    <row r="21" spans="6:22" ht="15">
      <c r="F21" s="7"/>
      <c r="H21" s="4" t="s">
        <v>61</v>
      </c>
      <c r="J21" s="10">
        <f>DATE(K2,1,1)</f>
        <v>1</v>
      </c>
      <c r="K21" s="10">
        <f>J21</f>
        <v>1</v>
      </c>
      <c r="L21" s="4">
        <f>IF(WEEKDAY(K21,3)&gt;4,0,1)</f>
        <v>0</v>
      </c>
      <c r="M21" s="4">
        <f>IF(K21&lt;=$B$4,1,0)</f>
        <v>0</v>
      </c>
      <c r="N21" s="4">
        <f>IF(K21&gt;=$B$3,1,0)</f>
        <v>1</v>
      </c>
      <c r="O21" s="4">
        <f>L21*M21*N21</f>
        <v>0</v>
      </c>
      <c r="P21" s="10">
        <f>DATE(Q2,1,1)</f>
        <v>1</v>
      </c>
      <c r="Q21" s="10">
        <f>P21</f>
        <v>1</v>
      </c>
      <c r="R21" s="4">
        <f>IF(WEEKDAY(Q21,3)&gt;4,0,1)</f>
        <v>0</v>
      </c>
      <c r="S21" s="4">
        <f>IF(Q21&lt;=$B$4,1,0)</f>
        <v>0</v>
      </c>
      <c r="T21" s="4">
        <f>IF(Q21&gt;=$B$3,1,0)</f>
        <v>1</v>
      </c>
      <c r="U21" s="4">
        <f>R21*S21*T21</f>
        <v>0</v>
      </c>
      <c r="V21" s="7"/>
    </row>
    <row r="22" spans="6:22" ht="15">
      <c r="F22" s="7"/>
      <c r="H22" s="4" t="s">
        <v>62</v>
      </c>
      <c r="J22" s="10">
        <f>J25-49</f>
        <v>57</v>
      </c>
      <c r="P22" s="10">
        <f>P25-49</f>
        <v>57</v>
      </c>
      <c r="V22" s="7"/>
    </row>
    <row r="23" spans="6:22" ht="15">
      <c r="F23" s="7"/>
      <c r="H23" s="4" t="s">
        <v>63</v>
      </c>
      <c r="J23" s="10">
        <f>J25-3</f>
        <v>103</v>
      </c>
      <c r="K23" s="10">
        <f>J23</f>
        <v>103</v>
      </c>
      <c r="L23" s="4">
        <f>IF(WEEKDAY(K23,3)&gt;4,0,1)</f>
        <v>1</v>
      </c>
      <c r="M23" s="4">
        <f>IF(K23&lt;=$B$4,1,0)</f>
        <v>0</v>
      </c>
      <c r="N23" s="4">
        <f>IF(K23&gt;=$B$3,1,0)</f>
        <v>1</v>
      </c>
      <c r="O23" s="4">
        <f>L23*M23*N23</f>
        <v>0</v>
      </c>
      <c r="P23" s="10">
        <f>P25-3</f>
        <v>103</v>
      </c>
      <c r="Q23" s="10">
        <f>P23</f>
        <v>103</v>
      </c>
      <c r="R23" s="4">
        <f>IF(WEEKDAY(Q23,3)&gt;4,0,1)</f>
        <v>1</v>
      </c>
      <c r="S23" s="4">
        <f>IF(Q23&lt;=$B$4,1,0)</f>
        <v>0</v>
      </c>
      <c r="T23" s="4">
        <f>IF(Q23&gt;=$B$3,1,0)</f>
        <v>1</v>
      </c>
      <c r="U23" s="4">
        <f>R23*S23*T23</f>
        <v>0</v>
      </c>
      <c r="V23" s="7"/>
    </row>
    <row r="24" spans="6:22" ht="15">
      <c r="F24" s="7"/>
      <c r="H24" s="4" t="s">
        <v>64</v>
      </c>
      <c r="J24" s="10">
        <f>J25-2</f>
        <v>104</v>
      </c>
      <c r="K24" s="10">
        <f>J24</f>
        <v>104</v>
      </c>
      <c r="L24" s="4">
        <f>IF(WEEKDAY(K24,3)&gt;4,0,1)</f>
        <v>1</v>
      </c>
      <c r="M24" s="4">
        <f>IF(K24&lt;=$B$4,1,0)</f>
        <v>0</v>
      </c>
      <c r="N24" s="4">
        <f>IF(K24&gt;=$B$3,1,0)</f>
        <v>1</v>
      </c>
      <c r="O24" s="4">
        <f>L24*M24*N24</f>
        <v>0</v>
      </c>
      <c r="P24" s="10">
        <f>P25-2</f>
        <v>104</v>
      </c>
      <c r="Q24" s="10">
        <f>P24</f>
        <v>104</v>
      </c>
      <c r="R24" s="4">
        <f>IF(WEEKDAY(Q24,3)&gt;4,0,1)</f>
        <v>1</v>
      </c>
      <c r="S24" s="4">
        <f>IF(Q24&lt;=$B$4,1,0)</f>
        <v>0</v>
      </c>
      <c r="T24" s="4">
        <f>IF(Q24&gt;=$B$3,1,0)</f>
        <v>1</v>
      </c>
      <c r="U24" s="4">
        <f>R24*S24*T24</f>
        <v>0</v>
      </c>
      <c r="V24" s="7"/>
    </row>
    <row r="25" spans="6:22" ht="15">
      <c r="F25" s="7"/>
      <c r="H25" s="4" t="s">
        <v>65</v>
      </c>
      <c r="J25" s="10">
        <f>K19</f>
        <v>106</v>
      </c>
      <c r="P25" s="10">
        <f>Q19</f>
        <v>106</v>
      </c>
      <c r="V25" s="7"/>
    </row>
    <row r="26" spans="6:22" ht="15">
      <c r="F26" s="7"/>
      <c r="H26" s="4" t="s">
        <v>66</v>
      </c>
      <c r="J26" s="10">
        <f>J25+1</f>
        <v>107</v>
      </c>
      <c r="K26" s="10">
        <f>J26</f>
        <v>107</v>
      </c>
      <c r="L26" s="4">
        <f>IF(WEEKDAY(K26,3)&gt;4,0,1)</f>
        <v>1</v>
      </c>
      <c r="M26" s="4">
        <f>IF(K26&lt;=$B$4,1,0)</f>
        <v>0</v>
      </c>
      <c r="N26" s="4">
        <f>IF(K26&gt;=$B$3,1,0)</f>
        <v>1</v>
      </c>
      <c r="O26" s="4">
        <f>L26*M26*N26</f>
        <v>0</v>
      </c>
      <c r="P26" s="10">
        <f>P25+1</f>
        <v>107</v>
      </c>
      <c r="Q26" s="10">
        <f>P26</f>
        <v>107</v>
      </c>
      <c r="R26" s="4">
        <f>IF(WEEKDAY(Q26,3)&gt;4,0,1)</f>
        <v>1</v>
      </c>
      <c r="S26" s="4">
        <f>IF(Q26&lt;=$B$4,1,0)</f>
        <v>0</v>
      </c>
      <c r="T26" s="4">
        <f>IF(Q26&gt;=$B$3,1,0)</f>
        <v>1</v>
      </c>
      <c r="U26" s="4">
        <f>R26*S26*T26</f>
        <v>0</v>
      </c>
      <c r="V26" s="7"/>
    </row>
    <row r="27" spans="6:22" ht="15">
      <c r="F27" s="7"/>
      <c r="J27" s="10"/>
      <c r="K27" s="10"/>
      <c r="P27" s="10"/>
      <c r="Q27" s="10"/>
      <c r="V27" s="7"/>
    </row>
    <row r="28" spans="6:22" ht="15">
      <c r="F28" s="7"/>
      <c r="H28" s="4" t="s">
        <v>67</v>
      </c>
      <c r="J28" s="10">
        <f>J25+39</f>
        <v>145</v>
      </c>
      <c r="K28" s="10">
        <f>J28</f>
        <v>145</v>
      </c>
      <c r="L28" s="4">
        <f>IF(WEEKDAY(K28,3)&gt;4,0,1)</f>
        <v>1</v>
      </c>
      <c r="M28" s="4">
        <f>IF(K28&lt;=$B$4,1,0)</f>
        <v>0</v>
      </c>
      <c r="N28" s="4">
        <f>IF(K28&gt;=$B$3,1,0)</f>
        <v>1</v>
      </c>
      <c r="O28" s="4">
        <f>L28*M28*N28</f>
        <v>0</v>
      </c>
      <c r="P28" s="10">
        <f>P25+39</f>
        <v>145</v>
      </c>
      <c r="Q28" s="10">
        <f>P28</f>
        <v>145</v>
      </c>
      <c r="R28" s="4">
        <f>IF(WEEKDAY(Q28,3)&gt;4,0,1)</f>
        <v>1</v>
      </c>
      <c r="S28" s="4">
        <f>IF(Q28&lt;=$B$4,1,0)</f>
        <v>0</v>
      </c>
      <c r="T28" s="4">
        <f>IF(Q28&gt;=$B$3,1,0)</f>
        <v>1</v>
      </c>
      <c r="U28" s="4">
        <f>R28*S28*T28</f>
        <v>0</v>
      </c>
      <c r="V28" s="7"/>
    </row>
    <row r="29" spans="6:22" ht="15">
      <c r="F29" s="7"/>
      <c r="H29" s="4" t="s">
        <v>68</v>
      </c>
      <c r="J29" s="10">
        <f>J25+49</f>
        <v>155</v>
      </c>
      <c r="P29" s="10">
        <f>P25+49</f>
        <v>155</v>
      </c>
      <c r="V29" s="7"/>
    </row>
    <row r="30" spans="6:22" ht="15">
      <c r="F30" s="7"/>
      <c r="H30" s="4" t="s">
        <v>69</v>
      </c>
      <c r="J30" s="10">
        <f>J29+1</f>
        <v>156</v>
      </c>
      <c r="K30" s="10">
        <f>J30</f>
        <v>156</v>
      </c>
      <c r="L30" s="4">
        <f>IF(WEEKDAY(K30,3)&gt;4,0,1)</f>
        <v>1</v>
      </c>
      <c r="M30" s="4">
        <f>IF(K30&lt;=$B$4,1,0)</f>
        <v>0</v>
      </c>
      <c r="N30" s="4">
        <f>IF(K30&gt;=$B$3,1,0)</f>
        <v>1</v>
      </c>
      <c r="O30" s="4">
        <f>L30*M30*N30</f>
        <v>0</v>
      </c>
      <c r="P30" s="10">
        <f>P29+1</f>
        <v>156</v>
      </c>
      <c r="Q30" s="10">
        <f>P30</f>
        <v>156</v>
      </c>
      <c r="R30" s="4">
        <f>IF(WEEKDAY(Q30,3)&gt;4,0,1)</f>
        <v>1</v>
      </c>
      <c r="S30" s="4">
        <f>IF(Q30&lt;=$B$4,1,0)</f>
        <v>0</v>
      </c>
      <c r="T30" s="4">
        <f>IF(Q30&gt;=$B$3,1,0)</f>
        <v>1</v>
      </c>
      <c r="U30" s="4">
        <f>R30*S30*T30</f>
        <v>0</v>
      </c>
      <c r="V30" s="7"/>
    </row>
    <row r="31" spans="6:22" ht="15">
      <c r="F31" s="7"/>
      <c r="H31" s="4" t="s">
        <v>70</v>
      </c>
      <c r="J31" s="10">
        <f>DATE(K2,12,25)</f>
        <v>360</v>
      </c>
      <c r="K31" s="10">
        <f>J31</f>
        <v>360</v>
      </c>
      <c r="L31" s="4">
        <f>IF(WEEKDAY(K31,3)&gt;4,0,1)</f>
        <v>1</v>
      </c>
      <c r="M31" s="4">
        <f>IF(K31&lt;=$B$4,1,0)</f>
        <v>0</v>
      </c>
      <c r="N31" s="4">
        <f>IF(K31&gt;=$B$3,1,0)</f>
        <v>1</v>
      </c>
      <c r="O31" s="4">
        <f>L31*M31*N31</f>
        <v>0</v>
      </c>
      <c r="P31" s="10">
        <f>DATE(Q2,12,25)</f>
        <v>360</v>
      </c>
      <c r="Q31" s="10">
        <f>P31</f>
        <v>360</v>
      </c>
      <c r="R31" s="4">
        <f>IF(WEEKDAY(Q31,3)&gt;4,0,1)</f>
        <v>1</v>
      </c>
      <c r="S31" s="4">
        <f>IF(Q31&lt;=$B$4,1,0)</f>
        <v>0</v>
      </c>
      <c r="T31" s="4">
        <f>IF(Q31&gt;=$B$3,1,0)</f>
        <v>1</v>
      </c>
      <c r="U31" s="4">
        <f>R31*S31*T31</f>
        <v>0</v>
      </c>
      <c r="V31" s="7"/>
    </row>
    <row r="32" spans="6:22" ht="15">
      <c r="F32" s="7"/>
      <c r="H32" s="4" t="s">
        <v>71</v>
      </c>
      <c r="J32" s="10">
        <f>J31+1</f>
        <v>361</v>
      </c>
      <c r="K32" s="10">
        <f>J32</f>
        <v>361</v>
      </c>
      <c r="L32" s="4">
        <f>IF(WEEKDAY(K32,3)&gt;4,0,1)</f>
        <v>1</v>
      </c>
      <c r="M32" s="4">
        <f>IF(K32&lt;=$B$4,1,0)</f>
        <v>0</v>
      </c>
      <c r="N32" s="4">
        <f>IF(K32&gt;=$B$3,1,0)</f>
        <v>1</v>
      </c>
      <c r="O32" s="4">
        <f>L32*M32*N32</f>
        <v>0</v>
      </c>
      <c r="P32" s="10">
        <f>P31+1</f>
        <v>361</v>
      </c>
      <c r="Q32" s="10">
        <f>P32</f>
        <v>361</v>
      </c>
      <c r="R32" s="4">
        <f>IF(WEEKDAY(Q32,3)&gt;4,0,1)</f>
        <v>1</v>
      </c>
      <c r="S32" s="4">
        <f>IF(Q32&lt;=$B$4,1,0)</f>
        <v>0</v>
      </c>
      <c r="T32" s="4">
        <f>IF(Q32&gt;=$B$3,1,0)</f>
        <v>1</v>
      </c>
      <c r="U32" s="4">
        <f>R32*S32*T32</f>
        <v>0</v>
      </c>
      <c r="V32" s="7"/>
    </row>
    <row r="33" spans="6:22" ht="15">
      <c r="F33" s="7"/>
      <c r="H33" s="4" t="s">
        <v>72</v>
      </c>
      <c r="O33" s="4">
        <f>SUM(O21:O32)</f>
        <v>0</v>
      </c>
      <c r="U33" s="4">
        <f>SUM(U21:U32)</f>
        <v>0</v>
      </c>
      <c r="V33" s="7"/>
    </row>
    <row r="34" spans="6:21" ht="15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59" ht="15">
      <c r="B59" s="4" t="s">
        <v>79</v>
      </c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 Sydjylland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Leding - Michael Rosenberg</dc:creator>
  <cp:keywords/>
  <dc:description/>
  <cp:lastModifiedBy>Klaus Slanina Petersen</cp:lastModifiedBy>
  <cp:lastPrinted>2010-10-25T11:18:42Z</cp:lastPrinted>
  <dcterms:created xsi:type="dcterms:W3CDTF">2002-06-19T13:53:26Z</dcterms:created>
  <dcterms:modified xsi:type="dcterms:W3CDTF">2023-12-18T08:33:17Z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mSom">
    <vt:lpwstr>Ja</vt:lpwstr>
  </property>
  <property fmtid="{D5CDD505-2E9C-101B-9397-08002B2CF9AE}" pid="3" name="OpenFilNavn">
    <vt:lpwstr>T:\JL7WTF45.XLS</vt:lpwstr>
  </property>
  <property fmtid="{D5CDD505-2E9C-101B-9397-08002B2CF9AE}" pid="4" name="Cirius">
    <vt:lpwstr>Nej</vt:lpwstr>
  </property>
  <property fmtid="{D5CDD505-2E9C-101B-9397-08002B2CF9AE}" pid="5" name="_AdHocReviewCycleID">
    <vt:i4>1159157926</vt:i4>
  </property>
  <property fmtid="{D5CDD505-2E9C-101B-9397-08002B2CF9AE}" pid="6" name="_NewReviewCycle">
    <vt:lpwstr/>
  </property>
  <property fmtid="{D5CDD505-2E9C-101B-9397-08002B2CF9AE}" pid="7" name="_EmailSubject">
    <vt:lpwstr>Årsnormsberegner - brudt ansættelse</vt:lpwstr>
  </property>
  <property fmtid="{D5CDD505-2E9C-101B-9397-08002B2CF9AE}" pid="8" name="_AuthorEmail">
    <vt:lpwstr>beb@bupl.dk</vt:lpwstr>
  </property>
  <property fmtid="{D5CDD505-2E9C-101B-9397-08002B2CF9AE}" pid="9" name="_AuthorEmailDisplayName">
    <vt:lpwstr>Berit Brylov</vt:lpwstr>
  </property>
  <property fmtid="{D5CDD505-2E9C-101B-9397-08002B2CF9AE}" pid="10" name="ContentTypeId">
    <vt:lpwstr>0x01010031E1CE15C4F60A4DA6B981AA42964F86</vt:lpwstr>
  </property>
  <property fmtid="{D5CDD505-2E9C-101B-9397-08002B2CF9AE}" pid="11" name="_activity">
    <vt:lpwstr/>
  </property>
  <property fmtid="{D5CDD505-2E9C-101B-9397-08002B2CF9AE}" pid="12" name="_PreviousAdHocReviewCycleID">
    <vt:i4>-1049889137</vt:i4>
  </property>
  <property fmtid="{D5CDD505-2E9C-101B-9397-08002B2CF9AE}" pid="13" name="_ReviewingToolsShownOnce">
    <vt:lpwstr/>
  </property>
</Properties>
</file>